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6700" yWindow="2780" windowWidth="15960" windowHeight="18080"/>
  </bookViews>
  <sheets>
    <sheet name="Pitot_Static" sheetId="1" r:id="rId1"/>
    <sheet name="Crossover Alt" sheetId="2" r:id="rId2"/>
    <sheet name="Turn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4" i="1"/>
  <c r="C5" i="1"/>
  <c r="C23" i="1"/>
  <c r="C9" i="1"/>
  <c r="C10" i="1"/>
  <c r="C11" i="1"/>
  <c r="C12" i="1"/>
  <c r="C16" i="1"/>
  <c r="C27" i="1"/>
  <c r="C4" i="3"/>
  <c r="C5" i="3"/>
  <c r="C13" i="3"/>
  <c r="C11" i="3"/>
  <c r="C12" i="3"/>
  <c r="C7" i="3"/>
  <c r="C10" i="3"/>
  <c r="C9" i="3"/>
  <c r="C8" i="3"/>
  <c r="C6" i="3"/>
  <c r="C8" i="2"/>
  <c r="C9" i="2"/>
  <c r="C10" i="2"/>
  <c r="C11" i="2"/>
  <c r="C12" i="2"/>
  <c r="C13" i="2"/>
  <c r="C14" i="2"/>
  <c r="C15" i="2"/>
  <c r="C16" i="2"/>
  <c r="C17" i="2"/>
  <c r="C6" i="1"/>
  <c r="C24" i="1"/>
  <c r="C25" i="1"/>
  <c r="C26" i="1"/>
  <c r="C22" i="1"/>
  <c r="C21" i="1"/>
  <c r="C15" i="1"/>
  <c r="C13" i="1"/>
  <c r="C14" i="1"/>
</calcChain>
</file>

<file path=xl/sharedStrings.xml><?xml version="1.0" encoding="utf-8"?>
<sst xmlns="http://schemas.openxmlformats.org/spreadsheetml/2006/main" count="84" uniqueCount="54">
  <si>
    <t>Flight Level</t>
  </si>
  <si>
    <t>Pressure Altitude:</t>
  </si>
  <si>
    <t>ft</t>
  </si>
  <si>
    <t>Delta - δ:</t>
  </si>
  <si>
    <r>
      <rPr>
        <sz val="13"/>
        <color indexed="8"/>
        <rFont val="Calibri"/>
      </rPr>
      <t>P</t>
    </r>
    <r>
      <rPr>
        <vertAlign val="subscript"/>
        <sz val="13"/>
        <color indexed="8"/>
        <rFont val="Calibri"/>
      </rPr>
      <t>ambient</t>
    </r>
    <r>
      <rPr>
        <sz val="13"/>
        <color indexed="8"/>
        <rFont val="Calibri"/>
      </rPr>
      <t>/P</t>
    </r>
    <r>
      <rPr>
        <vertAlign val="subscript"/>
        <sz val="13"/>
        <color indexed="8"/>
        <rFont val="Calibri"/>
      </rPr>
      <t>0</t>
    </r>
  </si>
  <si>
    <t>Static Pressure</t>
  </si>
  <si>
    <t>hPa</t>
  </si>
  <si>
    <r>
      <rPr>
        <b/>
        <sz val="13"/>
        <color indexed="8"/>
        <rFont val="Calibri"/>
      </rPr>
      <t>Δ ISA+/-</t>
    </r>
  </si>
  <si>
    <t>Standard SAT:</t>
  </si>
  <si>
    <t>°C</t>
  </si>
  <si>
    <t>Static Air Temperature:</t>
  </si>
  <si>
    <t>Theta -Θ:</t>
  </si>
  <si>
    <r>
      <rPr>
        <sz val="13"/>
        <color indexed="8"/>
        <rFont val="Calibri"/>
      </rPr>
      <t>T</t>
    </r>
    <r>
      <rPr>
        <vertAlign val="subscript"/>
        <sz val="13"/>
        <color indexed="8"/>
        <rFont val="Calibri"/>
      </rPr>
      <t>ambient</t>
    </r>
    <r>
      <rPr>
        <sz val="13"/>
        <color indexed="8"/>
        <rFont val="Calibri"/>
      </rPr>
      <t>/T</t>
    </r>
    <r>
      <rPr>
        <vertAlign val="subscript"/>
        <sz val="13"/>
        <color indexed="8"/>
        <rFont val="Calibri"/>
      </rPr>
      <t>0</t>
    </r>
  </si>
  <si>
    <t>Absolute Temperature:</t>
  </si>
  <si>
    <t>°K</t>
  </si>
  <si>
    <t>Sigma -σ:</t>
  </si>
  <si>
    <r>
      <rPr>
        <sz val="13"/>
        <color indexed="8"/>
        <rFont val="Calibri"/>
      </rPr>
      <t>D</t>
    </r>
    <r>
      <rPr>
        <vertAlign val="subscript"/>
        <sz val="13"/>
        <color indexed="8"/>
        <rFont val="Calibri"/>
      </rPr>
      <t>ambient</t>
    </r>
    <r>
      <rPr>
        <sz val="13"/>
        <color indexed="8"/>
        <rFont val="Calibri"/>
      </rPr>
      <t>/D</t>
    </r>
    <r>
      <rPr>
        <vertAlign val="subscript"/>
        <sz val="13"/>
        <color indexed="8"/>
        <rFont val="Calibri"/>
      </rPr>
      <t>0</t>
    </r>
  </si>
  <si>
    <t>Absolute Density:</t>
  </si>
  <si>
    <t>kg/m³</t>
  </si>
  <si>
    <t>Density Altitude:</t>
  </si>
  <si>
    <t>True Speed of Sound (LSS)  a:</t>
  </si>
  <si>
    <t>kt</t>
  </si>
  <si>
    <t>KCAS</t>
  </si>
  <si>
    <t>Dynamic Pressure</t>
  </si>
  <si>
    <t>Total Air Temperature</t>
  </si>
  <si>
    <t>EAS</t>
  </si>
  <si>
    <t>MACH subonic equation</t>
  </si>
  <si>
    <t>M</t>
  </si>
  <si>
    <t>MACH supersonic equation</t>
  </si>
  <si>
    <t>TAS</t>
  </si>
  <si>
    <t>Mach</t>
  </si>
  <si>
    <t>Crossover Altitude Iteration 1:</t>
  </si>
  <si>
    <t>EAS from 1st Iteration:</t>
  </si>
  <si>
    <t>KEAS</t>
  </si>
  <si>
    <t>Crossover Altitude Iteration 2:</t>
  </si>
  <si>
    <t>Crossover Altitude Iteration 3:</t>
  </si>
  <si>
    <t>Crossover Altitude:</t>
  </si>
  <si>
    <t>Bank Angle [°]</t>
  </si>
  <si>
    <t>TAS (from pitot/static tab):</t>
  </si>
  <si>
    <t>KTAS</t>
  </si>
  <si>
    <t>Turn Radius:</t>
  </si>
  <si>
    <t>nm</t>
  </si>
  <si>
    <t>Turn Diameter:</t>
  </si>
  <si>
    <t>Turn Rate:</t>
  </si>
  <si>
    <t>°/s</t>
  </si>
  <si>
    <t>Time for 90°:</t>
  </si>
  <si>
    <t>min</t>
  </si>
  <si>
    <t>Time for 180°:</t>
  </si>
  <si>
    <t>Time for 360°:</t>
  </si>
  <si>
    <t>Load Factor n</t>
  </si>
  <si>
    <t>g</t>
  </si>
  <si>
    <t>Stall speed increase:</t>
  </si>
  <si>
    <t>%</t>
  </si>
  <si>
    <t>Pivotal Altitude: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</si>
</sst>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7" x14ac:knownFonts="1">
    <font>
      <sz val="12"/>
      <color indexed="8"/>
      <name val="Verdana"/>
    </font>
    <font>
      <sz val="13"/>
      <color indexed="8"/>
      <name val="Calibri"/>
    </font>
    <font>
      <b/>
      <sz val="13"/>
      <color indexed="8"/>
      <name val="Calibri"/>
    </font>
    <font>
      <b/>
      <sz val="28"/>
      <color indexed="8"/>
      <name val="Calibri"/>
    </font>
    <font>
      <sz val="28"/>
      <color indexed="8"/>
      <name val="Calibri"/>
    </font>
    <font>
      <vertAlign val="subscript"/>
      <sz val="13"/>
      <color indexed="8"/>
      <name val="Calibri"/>
    </font>
    <font>
      <b/>
      <sz val="13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7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/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thin">
        <color indexed="8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2" fillId="2" borderId="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/>
    <xf numFmtId="1" fontId="1" fillId="3" borderId="3" xfId="0" applyNumberFormat="1" applyFont="1" applyFill="1" applyBorder="1" applyAlignment="1"/>
    <xf numFmtId="1" fontId="4" fillId="3" borderId="5" xfId="0" applyNumberFormat="1" applyFont="1" applyFill="1" applyBorder="1" applyAlignment="1"/>
    <xf numFmtId="1" fontId="4" fillId="3" borderId="6" xfId="0" applyNumberFormat="1" applyFont="1" applyFill="1" applyBorder="1" applyAlignment="1"/>
    <xf numFmtId="0" fontId="1" fillId="3" borderId="2" xfId="0" applyNumberFormat="1" applyFont="1" applyFill="1" applyBorder="1" applyAlignment="1"/>
    <xf numFmtId="0" fontId="1" fillId="3" borderId="7" xfId="0" applyNumberFormat="1" applyFont="1" applyFill="1" applyBorder="1" applyAlignment="1"/>
    <xf numFmtId="0" fontId="1" fillId="3" borderId="6" xfId="0" applyNumberFormat="1" applyFont="1" applyFill="1" applyBorder="1" applyAlignment="1"/>
    <xf numFmtId="0" fontId="1" fillId="3" borderId="5" xfId="0" applyNumberFormat="1" applyFont="1" applyFill="1" applyBorder="1" applyAlignment="1"/>
    <xf numFmtId="164" fontId="1" fillId="3" borderId="7" xfId="0" applyNumberFormat="1" applyFont="1" applyFill="1" applyBorder="1" applyAlignment="1"/>
    <xf numFmtId="0" fontId="1" fillId="3" borderId="8" xfId="0" applyNumberFormat="1" applyFont="1" applyFill="1" applyBorder="1" applyAlignment="1"/>
    <xf numFmtId="1" fontId="1" fillId="3" borderId="7" xfId="0" applyNumberFormat="1" applyFont="1" applyFill="1" applyBorder="1" applyAlignment="1"/>
    <xf numFmtId="0" fontId="2" fillId="2" borderId="9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/>
    <xf numFmtId="1" fontId="1" fillId="3" borderId="6" xfId="0" applyNumberFormat="1" applyFont="1" applyFill="1" applyBorder="1" applyAlignment="1"/>
    <xf numFmtId="165" fontId="1" fillId="3" borderId="7" xfId="0" applyNumberFormat="1" applyFont="1" applyFill="1" applyBorder="1" applyAlignment="1"/>
    <xf numFmtId="166" fontId="1" fillId="3" borderId="7" xfId="0" applyNumberFormat="1" applyFont="1" applyFill="1" applyBorder="1" applyAlignment="1"/>
    <xf numFmtId="1" fontId="1" fillId="3" borderId="5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/>
    <xf numFmtId="1" fontId="2" fillId="2" borderId="14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2" borderId="5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6" xfId="0" applyNumberFormat="1" applyFont="1" applyFill="1" applyBorder="1" applyAlignment="1"/>
    <xf numFmtId="165" fontId="2" fillId="2" borderId="7" xfId="0" applyNumberFormat="1" applyFont="1" applyFill="1" applyBorder="1" applyAlignment="1"/>
    <xf numFmtId="165" fontId="6" fillId="2" borderId="7" xfId="0" applyNumberFormat="1" applyFont="1" applyFill="1" applyBorder="1" applyAlignment="1">
      <alignment horizontal="right"/>
    </xf>
    <xf numFmtId="0" fontId="2" fillId="2" borderId="8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1" fillId="0" borderId="0" xfId="0" applyNumberFormat="1" applyFont="1" applyAlignment="1"/>
    <xf numFmtId="1" fontId="1" fillId="3" borderId="2" xfId="0" applyNumberFormat="1" applyFont="1" applyFill="1" applyBorder="1" applyAlignment="1">
      <alignment horizontal="center"/>
    </xf>
    <xf numFmtId="0" fontId="1" fillId="3" borderId="11" xfId="0" applyFont="1" applyFill="1" applyBorder="1" applyAlignment="1"/>
    <xf numFmtId="0" fontId="1" fillId="3" borderId="6" xfId="0" applyFont="1" applyFill="1" applyBorder="1" applyAlignment="1"/>
    <xf numFmtId="165" fontId="1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2" borderId="2" xfId="0" applyNumberFormat="1" applyFont="1" applyFill="1" applyBorder="1" applyAlignment="1"/>
    <xf numFmtId="1" fontId="1" fillId="2" borderId="14" xfId="0" applyNumberFormat="1" applyFont="1" applyFill="1" applyBorder="1" applyAlignment="1"/>
    <xf numFmtId="0" fontId="1" fillId="2" borderId="3" xfId="0" applyNumberFormat="1" applyFont="1" applyFill="1" applyBorder="1" applyAlignment="1"/>
    <xf numFmtId="1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2" borderId="11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0" borderId="0" xfId="0" applyNumberFormat="1" applyFont="1" applyAlignment="1"/>
    <xf numFmtId="2" fontId="1" fillId="3" borderId="7" xfId="0" applyNumberFormat="1" applyFont="1" applyFill="1" applyBorder="1" applyAlignment="1"/>
    <xf numFmtId="0" fontId="1" fillId="3" borderId="8" xfId="0" applyFont="1" applyFill="1" applyBorder="1" applyAlignment="1"/>
    <xf numFmtId="164" fontId="1" fillId="3" borderId="12" xfId="0" applyNumberFormat="1" applyFont="1" applyFill="1" applyBorder="1" applyAlignment="1"/>
    <xf numFmtId="0" fontId="1" fillId="5" borderId="14" xfId="0" applyFont="1" applyFill="1" applyBorder="1" applyAlignment="1"/>
    <xf numFmtId="165" fontId="1" fillId="5" borderId="14" xfId="0" applyNumberFormat="1" applyFont="1" applyFill="1" applyBorder="1" applyAlignment="1"/>
    <xf numFmtId="0" fontId="1" fillId="5" borderId="7" xfId="0" applyFont="1" applyFill="1" applyBorder="1" applyAlignment="1"/>
    <xf numFmtId="1" fontId="1" fillId="5" borderId="7" xfId="0" applyNumberFormat="1" applyFont="1" applyFill="1" applyBorder="1" applyAlignment="1"/>
    <xf numFmtId="0" fontId="2" fillId="5" borderId="7" xfId="0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0" fontId="3" fillId="5" borderId="7" xfId="0" applyNumberFormat="1" applyFont="1" applyFill="1" applyBorder="1" applyAlignment="1">
      <alignment horizontal="center"/>
    </xf>
    <xf numFmtId="0" fontId="2" fillId="5" borderId="7" xfId="0" applyFont="1" applyFill="1" applyBorder="1" applyAlignment="1"/>
    <xf numFmtId="1" fontId="2" fillId="5" borderId="7" xfId="0" applyNumberFormat="1" applyFont="1" applyFill="1" applyBorder="1" applyAlignment="1"/>
    <xf numFmtId="165" fontId="2" fillId="5" borderId="7" xfId="0" applyNumberFormat="1" applyFont="1" applyFill="1" applyBorder="1" applyAlignment="1"/>
    <xf numFmtId="165" fontId="6" fillId="5" borderId="7" xfId="0" applyNumberFormat="1" applyFont="1" applyFill="1" applyBorder="1" applyAlignment="1">
      <alignment horizontal="right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2C21"/>
      <rgbColor rgb="FF515151"/>
      <rgbColor rgb="FFBFBFBF"/>
      <rgbColor rgb="FF95B3D7"/>
      <rgbColor rgb="FFFEFEFE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86018</xdr:colOff>
      <xdr:row>36</xdr:row>
      <xdr:rowOff>8234</xdr:rowOff>
    </xdr:from>
    <xdr:to>
      <xdr:col>5</xdr:col>
      <xdr:colOff>668401</xdr:colOff>
      <xdr:row>40</xdr:row>
      <xdr:rowOff>67826</xdr:rowOff>
    </xdr:to>
    <xdr:sp macro="" textlink="">
      <xdr:nvSpPr>
        <xdr:cNvPr id="9" name="Shape 9"/>
        <xdr:cNvSpPr/>
      </xdr:nvSpPr>
      <xdr:spPr>
        <a:xfrm>
          <a:off x="2518036" y="7457114"/>
          <a:ext cx="2817583" cy="1041401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tabSelected="1" workbookViewId="0">
      <selection activeCell="B8" sqref="B8"/>
    </sheetView>
  </sheetViews>
  <sheetFormatPr baseColWidth="10" defaultColWidth="8.125" defaultRowHeight="19.25" customHeight="1" x14ac:dyDescent="0"/>
  <cols>
    <col min="1" max="1" width="1.5" style="1" customWidth="1"/>
    <col min="2" max="2" width="22.5" style="1" customWidth="1"/>
    <col min="3" max="3" width="5.625" style="1" customWidth="1"/>
    <col min="4" max="4" width="8.25" style="1" customWidth="1"/>
    <col min="5" max="256" width="8.125" style="1" customWidth="1"/>
  </cols>
  <sheetData>
    <row r="1" spans="2:4" ht="40.25" customHeight="1"/>
    <row r="2" spans="2:4" ht="20" customHeight="1">
      <c r="B2" s="2" t="s">
        <v>0</v>
      </c>
      <c r="C2" s="3"/>
      <c r="D2" s="4"/>
    </row>
    <row r="3" spans="2:4" ht="38" customHeight="1">
      <c r="B3" s="63">
        <v>200</v>
      </c>
      <c r="C3" s="5"/>
      <c r="D3" s="6"/>
    </row>
    <row r="4" spans="2:4" ht="20" customHeight="1">
      <c r="B4" s="7" t="s">
        <v>1</v>
      </c>
      <c r="C4" s="8">
        <f>B3*100</f>
        <v>20000</v>
      </c>
      <c r="D4" s="9" t="s">
        <v>2</v>
      </c>
    </row>
    <row r="5" spans="2:4" ht="19" customHeight="1">
      <c r="B5" s="10" t="s">
        <v>3</v>
      </c>
      <c r="C5" s="11">
        <f>IF(C4&lt;36089,(1-0.0000068756*(C4))^5.2559,0.223358*EXP(-0.0000480614*(C4-36089)))</f>
        <v>0.4595412646966916</v>
      </c>
      <c r="D5" s="9" t="s">
        <v>4</v>
      </c>
    </row>
    <row r="6" spans="2:4" ht="20" customHeight="1">
      <c r="B6" s="12" t="s">
        <v>5</v>
      </c>
      <c r="C6" s="13">
        <f>C5*1013.25</f>
        <v>465.63018645392276</v>
      </c>
      <c r="D6" s="9" t="s">
        <v>6</v>
      </c>
    </row>
    <row r="7" spans="2:4" ht="20.5" customHeight="1">
      <c r="B7" s="14" t="s">
        <v>7</v>
      </c>
      <c r="C7" s="15"/>
      <c r="D7" s="16"/>
    </row>
    <row r="8" spans="2:4" ht="38.5" customHeight="1">
      <c r="B8" s="64">
        <v>0</v>
      </c>
      <c r="C8" s="15"/>
      <c r="D8" s="16"/>
    </row>
    <row r="9" spans="2:4" ht="20" customHeight="1">
      <c r="B9" s="7" t="s">
        <v>8</v>
      </c>
      <c r="C9" s="8">
        <f>IF(B3&lt;360,15-B3/5,-56.5)</f>
        <v>-25</v>
      </c>
      <c r="D9" s="9" t="s">
        <v>9</v>
      </c>
    </row>
    <row r="10" spans="2:4" ht="19" customHeight="1">
      <c r="B10" s="10" t="s">
        <v>10</v>
      </c>
      <c r="C10" s="8">
        <f>C9+B8</f>
        <v>-25</v>
      </c>
      <c r="D10" s="9" t="s">
        <v>9</v>
      </c>
    </row>
    <row r="11" spans="2:4" ht="18" customHeight="1">
      <c r="B11" s="10" t="s">
        <v>11</v>
      </c>
      <c r="C11" s="17">
        <f>(C10+273.15)/288.15</f>
        <v>0.86118341141766441</v>
      </c>
      <c r="D11" s="9" t="s">
        <v>12</v>
      </c>
    </row>
    <row r="12" spans="2:4" ht="19" customHeight="1">
      <c r="B12" s="10" t="s">
        <v>13</v>
      </c>
      <c r="C12" s="18">
        <f>C11*288.15</f>
        <v>248.14999999999998</v>
      </c>
      <c r="D12" s="9" t="s">
        <v>14</v>
      </c>
    </row>
    <row r="13" spans="2:4" ht="18" customHeight="1">
      <c r="B13" s="10" t="s">
        <v>15</v>
      </c>
      <c r="C13" s="11">
        <f>((1-6.87559*10^-6*C4)^5.2559)/((C10+273.15)/288.15)</f>
        <v>0.53361667059809748</v>
      </c>
      <c r="D13" s="9" t="s">
        <v>16</v>
      </c>
    </row>
    <row r="14" spans="2:4" ht="19" customHeight="1">
      <c r="B14" s="10" t="s">
        <v>17</v>
      </c>
      <c r="C14" s="17">
        <f>C13*1.225</f>
        <v>0.65368042148266947</v>
      </c>
      <c r="D14" s="9" t="s">
        <v>18</v>
      </c>
    </row>
    <row r="15" spans="2:4" ht="19" customHeight="1">
      <c r="B15" s="10" t="s">
        <v>19</v>
      </c>
      <c r="C15" s="13">
        <f>145430*(1-((C5)/(C11))^0.235)</f>
        <v>19956.276500440938</v>
      </c>
      <c r="D15" s="9" t="s">
        <v>2</v>
      </c>
    </row>
    <row r="16" spans="2:4" ht="20" customHeight="1">
      <c r="B16" s="12" t="s">
        <v>20</v>
      </c>
      <c r="C16" s="13">
        <f>39*SQRT(C12)</f>
        <v>614.35832378181374</v>
      </c>
      <c r="D16" s="9" t="s">
        <v>21</v>
      </c>
    </row>
    <row r="17" spans="2:4" ht="20" customHeight="1">
      <c r="B17" s="2" t="s">
        <v>22</v>
      </c>
      <c r="C17" s="19"/>
      <c r="D17" s="16"/>
    </row>
    <row r="18" spans="2:4" ht="38" customHeight="1" thickBot="1">
      <c r="B18" s="63">
        <v>320</v>
      </c>
      <c r="C18" s="15"/>
      <c r="D18" s="16"/>
    </row>
    <row r="19" spans="2:4" ht="21" customHeight="1" thickBot="1">
      <c r="B19" s="20"/>
      <c r="C19" s="21"/>
      <c r="D19" s="22"/>
    </row>
    <row r="20" spans="2:4" ht="20" customHeight="1">
      <c r="B20" s="23" t="s">
        <v>23</v>
      </c>
      <c r="C20" s="24">
        <f>2116.2*(((((0.002377*((B18*1.69)^2))/(2116.2*7))+1)^3.5)-1)*47.8802/100</f>
        <v>176.42230462737297</v>
      </c>
      <c r="D20" s="25" t="s">
        <v>6</v>
      </c>
    </row>
    <row r="21" spans="2:4" ht="19" customHeight="1">
      <c r="B21" s="26" t="s">
        <v>24</v>
      </c>
      <c r="C21" s="27">
        <f>C12*(1+0.2*C23^2)-273.15</f>
        <v>-1.142966264219865</v>
      </c>
      <c r="D21" s="28" t="s">
        <v>9</v>
      </c>
    </row>
    <row r="22" spans="2:4" ht="19" customHeight="1">
      <c r="B22" s="26" t="s">
        <v>25</v>
      </c>
      <c r="C22" s="27">
        <f>B18/(1+1/8*(1-C5)*C23^2+3/640*(1-(10*C5)+9*(C5)^2)*C23^4)</f>
        <v>310.48700468296272</v>
      </c>
      <c r="D22" s="28" t="s">
        <v>21</v>
      </c>
    </row>
    <row r="23" spans="2:4" ht="19" customHeight="1">
      <c r="B23" s="26" t="s">
        <v>26</v>
      </c>
      <c r="C23" s="29">
        <f>SQRT((5*((((C20*100/47.8802)/(C5*2116.2)+1)^(2/7)-1))))</f>
        <v>0.69332376183291611</v>
      </c>
      <c r="D23" s="28" t="s">
        <v>27</v>
      </c>
    </row>
    <row r="24" spans="2:4" ht="19.25" hidden="1" customHeight="1">
      <c r="B24" s="26" t="s">
        <v>28</v>
      </c>
      <c r="C24" s="30">
        <f>0.8813*SQRT((C20/C6+1)*POWER(1-(1/(7*POWER(C23,2))),2.5))</f>
        <v>0.6659447750682973</v>
      </c>
      <c r="D24" s="28" t="s">
        <v>27</v>
      </c>
    </row>
    <row r="25" spans="2:4" ht="19.25" hidden="1" customHeight="1">
      <c r="B25" s="26" t="s">
        <v>28</v>
      </c>
      <c r="C25" s="30">
        <f>0.8813*SQRT((C20/C6+1)*POWER(1-(1/(7*POWER(C24,2))),2.5))</f>
        <v>0.63653874619005535</v>
      </c>
      <c r="D25" s="28" t="s">
        <v>27</v>
      </c>
    </row>
    <row r="26" spans="2:4" ht="19" customHeight="1">
      <c r="B26" s="26" t="s">
        <v>28</v>
      </c>
      <c r="C26" s="30">
        <f>0.8813*SQRT((C20/C6+1)*POWER(1-(1/(7*POWER(C25,2))),2.5))</f>
        <v>0.60100044107176109</v>
      </c>
      <c r="D26" s="28" t="s">
        <v>27</v>
      </c>
    </row>
    <row r="27" spans="2:4" ht="20" customHeight="1" thickBot="1">
      <c r="B27" s="31" t="s">
        <v>29</v>
      </c>
      <c r="C27" s="32">
        <f>C23*C16</f>
        <v>425.94922415777177</v>
      </c>
      <c r="D27" s="33" t="s">
        <v>21</v>
      </c>
    </row>
  </sheetData>
  <sheetProtection sheet="1" objects="1" scenarios="1" selectLockedCells="1"/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showGridLines="0" workbookViewId="0">
      <selection activeCell="B3" sqref="B3"/>
    </sheetView>
  </sheetViews>
  <sheetFormatPr baseColWidth="10" defaultColWidth="8.125" defaultRowHeight="19.25" customHeight="1" x14ac:dyDescent="0"/>
  <cols>
    <col min="1" max="1" width="1.5" style="34" customWidth="1"/>
    <col min="2" max="2" width="22.5" style="34" customWidth="1"/>
    <col min="3" max="3" width="5.625" style="34" customWidth="1"/>
    <col min="4" max="4" width="8.25" style="34" customWidth="1"/>
    <col min="5" max="256" width="8.125" style="34" customWidth="1"/>
  </cols>
  <sheetData>
    <row r="1" spans="2:4" ht="40.25" customHeight="1"/>
    <row r="2" spans="2:4" ht="20" customHeight="1">
      <c r="B2" s="2" t="s">
        <v>22</v>
      </c>
      <c r="C2" s="35"/>
      <c r="D2" s="4"/>
    </row>
    <row r="3" spans="2:4" ht="38" customHeight="1">
      <c r="B3" s="63">
        <v>300</v>
      </c>
      <c r="C3" s="15"/>
      <c r="D3" s="16"/>
    </row>
    <row r="4" spans="2:4" ht="21" customHeight="1">
      <c r="B4" s="36"/>
      <c r="C4" s="13"/>
      <c r="D4" s="37"/>
    </row>
    <row r="5" spans="2:4" ht="20" customHeight="1">
      <c r="B5" s="2" t="s">
        <v>30</v>
      </c>
      <c r="C5" s="15"/>
      <c r="D5" s="16"/>
    </row>
    <row r="6" spans="2:4" ht="38" customHeight="1">
      <c r="B6" s="65">
        <v>0.78</v>
      </c>
      <c r="C6" s="15"/>
      <c r="D6" s="16"/>
    </row>
    <row r="7" spans="2:4" ht="21" customHeight="1">
      <c r="B7" s="36"/>
      <c r="C7" s="38"/>
      <c r="D7" s="39"/>
    </row>
    <row r="8" spans="2:4" ht="19.25" hidden="1" customHeight="1">
      <c r="B8" s="40" t="s">
        <v>31</v>
      </c>
      <c r="C8" s="41">
        <f>145430*(1-POWER((POWER(B3,2)/436921/POWER(B6,2)),0.19))</f>
        <v>27047.480883946479</v>
      </c>
      <c r="D8" s="42" t="s">
        <v>2</v>
      </c>
    </row>
    <row r="9" spans="2:4" ht="19.25" hidden="1" customHeight="1">
      <c r="B9" s="10" t="s">
        <v>3</v>
      </c>
      <c r="C9" s="11">
        <f>IF(C8&lt;36089,(1-0.0000068756*(C8))^5.2559,0.223358*EXP(-0.0000480614*(C8-36089)))</f>
        <v>0.3391107024578508</v>
      </c>
      <c r="D9" s="9" t="s">
        <v>4</v>
      </c>
    </row>
    <row r="10" spans="2:4" ht="19.25" hidden="1" customHeight="1">
      <c r="B10" s="12" t="s">
        <v>32</v>
      </c>
      <c r="C10" s="43">
        <f>B3/(1+1/8*(1-C9)*B6^2+3/640*(1-(10*C9)+9*(C9)^2)*B6^4)</f>
        <v>286.28477916487071</v>
      </c>
      <c r="D10" s="44" t="s">
        <v>33</v>
      </c>
    </row>
    <row r="11" spans="2:4" ht="19.25" hidden="1" customHeight="1">
      <c r="B11" s="40" t="s">
        <v>34</v>
      </c>
      <c r="C11" s="41">
        <f>145430*(1-POWER((POWER(C10,2)/436921/POWER(B6,2)),0.19))</f>
        <v>29133.983576459141</v>
      </c>
      <c r="D11" s="42" t="s">
        <v>2</v>
      </c>
    </row>
    <row r="12" spans="2:4" ht="19.25" hidden="1" customHeight="1">
      <c r="B12" s="10" t="s">
        <v>3</v>
      </c>
      <c r="C12" s="11">
        <f>IF(C11&lt;36089,(1-0.0000068756*(C11))^5.2559,0.223358*EXP(-0.0000480614*(C11-36089)))</f>
        <v>0.30885572424364682</v>
      </c>
      <c r="D12" s="9" t="s">
        <v>4</v>
      </c>
    </row>
    <row r="13" spans="2:4" ht="19.25" hidden="1" customHeight="1">
      <c r="B13" s="12" t="s">
        <v>32</v>
      </c>
      <c r="C13" s="43">
        <f>B3/(1+1/8*(1-C12)*B6^2+3/640*(1-(10*C12)+9*(C12)^2)*B6^4)</f>
        <v>285.59805549296266</v>
      </c>
      <c r="D13" s="44" t="s">
        <v>33</v>
      </c>
    </row>
    <row r="14" spans="2:4" ht="19.25" hidden="1" customHeight="1">
      <c r="B14" s="40" t="s">
        <v>35</v>
      </c>
      <c r="C14" s="41">
        <f>145430*(1-POWER((POWER(C13,2)/436921/POWER(B6,2)),0.19))</f>
        <v>29240.068932782884</v>
      </c>
      <c r="D14" s="42" t="s">
        <v>2</v>
      </c>
    </row>
    <row r="15" spans="2:4" ht="19.25" hidden="1" customHeight="1">
      <c r="B15" s="10" t="s">
        <v>3</v>
      </c>
      <c r="C15" s="11">
        <f>IF(C14&lt;36089,(1-0.0000068756*(C14))^5.2559,0.223358*EXP(-0.0000480614*(C14-36089)))</f>
        <v>0.30737795652403732</v>
      </c>
      <c r="D15" s="9" t="s">
        <v>4</v>
      </c>
    </row>
    <row r="16" spans="2:4" ht="19.25" hidden="1" customHeight="1">
      <c r="B16" s="12" t="s">
        <v>32</v>
      </c>
      <c r="C16" s="43">
        <f>B3/(1+1/8*(1-C15)*B6^2+3/640*(1-(10*C15)+9*(C15)^2)*B6^4)</f>
        <v>285.56439863668209</v>
      </c>
      <c r="D16" s="44" t="s">
        <v>33</v>
      </c>
    </row>
    <row r="17" spans="2:4" ht="21" customHeight="1">
      <c r="B17" s="45" t="s">
        <v>36</v>
      </c>
      <c r="C17" s="46">
        <f>145430*(1-POWER((POWER(C16,2)/436921/POWER(B6,2)),0.19))</f>
        <v>29245.272321361153</v>
      </c>
      <c r="D17" s="47" t="s">
        <v>2</v>
      </c>
    </row>
  </sheetData>
  <sheetProtection sheet="1" objects="1" scenarios="1" selectLockedCells="1"/>
  <pageMargins left="0.75" right="0.75" top="1" bottom="1" header="0.5" footer="0.5"/>
  <pageSetup orientation="portrait"/>
  <headerFooter>
    <oddFooter>&amp;L&amp;"Helvetica,Regular"&amp;12&amp;K000000	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>
      <selection activeCell="B3" sqref="B3"/>
    </sheetView>
  </sheetViews>
  <sheetFormatPr baseColWidth="10" defaultColWidth="8.125" defaultRowHeight="19.25" customHeight="1" x14ac:dyDescent="0"/>
  <cols>
    <col min="1" max="1" width="1.5" style="48" customWidth="1"/>
    <col min="2" max="2" width="22.5" style="48" customWidth="1"/>
    <col min="3" max="3" width="5.625" style="48" customWidth="1"/>
    <col min="4" max="4" width="8.25" style="48" customWidth="1"/>
    <col min="5" max="256" width="8.125" style="48" customWidth="1"/>
  </cols>
  <sheetData>
    <row r="1" spans="2:4" ht="40.25" customHeight="1"/>
    <row r="2" spans="2:4" ht="20" customHeight="1">
      <c r="B2" s="2" t="s">
        <v>37</v>
      </c>
      <c r="C2" s="3"/>
      <c r="D2" s="4"/>
    </row>
    <row r="3" spans="2:4" ht="38" customHeight="1">
      <c r="B3" s="63">
        <v>30</v>
      </c>
      <c r="C3" s="5"/>
      <c r="D3" s="6"/>
    </row>
    <row r="4" spans="2:4" ht="20" customHeight="1">
      <c r="B4" s="7" t="s">
        <v>38</v>
      </c>
      <c r="C4" s="8">
        <f>Pitot_Static!C27</f>
        <v>425.94922415777177</v>
      </c>
      <c r="D4" s="9" t="s">
        <v>39</v>
      </c>
    </row>
    <row r="5" spans="2:4" ht="19" customHeight="1">
      <c r="B5" s="10" t="s">
        <v>40</v>
      </c>
      <c r="C5" s="49">
        <f>POWER(C4*0.5144,2)/(9.81*TAN(RADIANS(B3)))*0.000539957</f>
        <v>4.576867909030069</v>
      </c>
      <c r="D5" s="9" t="s">
        <v>41</v>
      </c>
    </row>
    <row r="6" spans="2:4" ht="19" customHeight="1">
      <c r="B6" s="10" t="s">
        <v>42</v>
      </c>
      <c r="C6" s="49">
        <f>C5*2</f>
        <v>9.153735818060138</v>
      </c>
      <c r="D6" s="9" t="s">
        <v>41</v>
      </c>
    </row>
    <row r="7" spans="2:4" ht="19" customHeight="1">
      <c r="B7" s="10" t="s">
        <v>43</v>
      </c>
      <c r="C7" s="49">
        <f>TAN(RADIANS(B3))*360*9.81/(2*3.14159*C4*0.5)</f>
        <v>1.5237142999420872</v>
      </c>
      <c r="D7" s="9" t="s">
        <v>44</v>
      </c>
    </row>
    <row r="8" spans="2:4" ht="19" customHeight="1">
      <c r="B8" s="10" t="s">
        <v>45</v>
      </c>
      <c r="C8" s="18">
        <f>90/C7/60</f>
        <v>0.9844365180907021</v>
      </c>
      <c r="D8" s="9" t="s">
        <v>46</v>
      </c>
    </row>
    <row r="9" spans="2:4" ht="19" customHeight="1">
      <c r="B9" s="10" t="s">
        <v>47</v>
      </c>
      <c r="C9" s="18">
        <f>180/C7/60</f>
        <v>1.9688730361814042</v>
      </c>
      <c r="D9" s="9" t="s">
        <v>46</v>
      </c>
    </row>
    <row r="10" spans="2:4" ht="19" customHeight="1">
      <c r="B10" s="10" t="s">
        <v>48</v>
      </c>
      <c r="C10" s="18">
        <f>360/C7/60</f>
        <v>3.9377460723628084</v>
      </c>
      <c r="D10" s="9" t="s">
        <v>46</v>
      </c>
    </row>
    <row r="11" spans="2:4" ht="19" customHeight="1">
      <c r="B11" s="10" t="s">
        <v>49</v>
      </c>
      <c r="C11" s="49">
        <f>1/COS(RADIANS(B3))</f>
        <v>1.1547005383792515</v>
      </c>
      <c r="D11" s="9" t="s">
        <v>50</v>
      </c>
    </row>
    <row r="12" spans="2:4" ht="18" customHeight="1">
      <c r="B12" s="10" t="s">
        <v>51</v>
      </c>
      <c r="C12" s="8">
        <f>(SQRT(C11)-1)*100</f>
        <v>7.4569931823541991</v>
      </c>
      <c r="D12" s="9" t="s">
        <v>52</v>
      </c>
    </row>
    <row r="13" spans="2:4" ht="19" customHeight="1">
      <c r="B13" s="10" t="s">
        <v>53</v>
      </c>
      <c r="C13" s="8">
        <f>TAN(RADIANS(B3))*C5*6076</f>
        <v>16055.562165811834</v>
      </c>
      <c r="D13" s="9" t="s">
        <v>2</v>
      </c>
    </row>
    <row r="14" spans="2:4" ht="18" customHeight="1">
      <c r="B14" s="50"/>
      <c r="C14" s="51"/>
      <c r="D14" s="39"/>
    </row>
    <row r="15" spans="2:4" ht="20" customHeight="1">
      <c r="B15" s="52"/>
      <c r="C15" s="53"/>
      <c r="D15" s="52"/>
    </row>
    <row r="16" spans="2:4" ht="19" customHeight="1">
      <c r="B16" s="54"/>
      <c r="C16" s="55"/>
      <c r="D16" s="54"/>
    </row>
    <row r="17" spans="2:4" ht="19" customHeight="1">
      <c r="B17" s="54"/>
      <c r="C17" s="55"/>
      <c r="D17" s="54"/>
    </row>
    <row r="18" spans="2:4" ht="19" customHeight="1">
      <c r="B18" s="56"/>
      <c r="C18" s="57"/>
      <c r="D18" s="55"/>
    </row>
    <row r="19" spans="2:4" ht="37" customHeight="1">
      <c r="B19" s="58"/>
      <c r="C19" s="55"/>
      <c r="D19" s="55"/>
    </row>
    <row r="20" spans="2:4" ht="19" customHeight="1">
      <c r="B20" s="57"/>
      <c r="C20" s="57"/>
      <c r="D20" s="57"/>
    </row>
    <row r="21" spans="2:4" ht="19" customHeight="1">
      <c r="B21" s="59"/>
      <c r="C21" s="60"/>
      <c r="D21" s="59"/>
    </row>
    <row r="22" spans="2:4" ht="19" customHeight="1">
      <c r="B22" s="59"/>
      <c r="C22" s="60"/>
      <c r="D22" s="59"/>
    </row>
    <row r="23" spans="2:4" ht="19" customHeight="1">
      <c r="B23" s="59"/>
      <c r="C23" s="60"/>
      <c r="D23" s="59"/>
    </row>
    <row r="24" spans="2:4" ht="19" customHeight="1">
      <c r="B24" s="59"/>
      <c r="C24" s="61"/>
      <c r="D24" s="59"/>
    </row>
    <row r="25" spans="2:4" ht="19" customHeight="1">
      <c r="B25" s="59"/>
      <c r="C25" s="62"/>
      <c r="D25" s="59"/>
    </row>
    <row r="26" spans="2:4" ht="19" customHeight="1">
      <c r="B26" s="59"/>
      <c r="C26" s="60"/>
      <c r="D26" s="59"/>
    </row>
  </sheetData>
  <sheetProtection sheet="1" objects="1" scenarios="1" selectLockedCells="1"/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Pitot_Static</vt:lpstr>
      <vt:lpstr>Crossover Alt</vt:lpstr>
      <vt:lpstr>Turn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Michi</cp:lastModifiedBy>
  <dcterms:created xsi:type="dcterms:W3CDTF">2014-12-25T06:44:53Z</dcterms:created>
  <dcterms:modified xsi:type="dcterms:W3CDTF">2014-12-25T09:56:46Z</dcterms:modified>
</cp:coreProperties>
</file>