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Pitot_Static" sheetId="1" r:id="rId5"/>
    <sheet name="Crossover Alt" sheetId="2" r:id="rId6"/>
    <sheet name="Turn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<sst xmlns="http://schemas.openxmlformats.org/spreadsheetml/2006/main" uniqueCount="55">
  <si>
    <t>Flight Level</t>
  </si>
  <si>
    <t>Pressure Altitude:</t>
  </si>
  <si>
    <t>ft</t>
  </si>
  <si>
    <t>Delta - δ:</t>
  </si>
  <si>
    <r>
      <rPr>
        <sz val="13"/>
        <color indexed="8"/>
        <rFont val="Calibri"/>
      </rPr>
      <t>P</t>
    </r>
    <r>
      <rPr>
        <vertAlign val="subscript"/>
        <sz val="13"/>
        <color indexed="8"/>
        <rFont val="Calibri"/>
      </rPr>
      <t>ambient</t>
    </r>
    <r>
      <rPr>
        <sz val="13"/>
        <color indexed="8"/>
        <rFont val="Calibri"/>
      </rPr>
      <t>/P</t>
    </r>
    <r>
      <rPr>
        <vertAlign val="subscript"/>
        <sz val="13"/>
        <color indexed="8"/>
        <rFont val="Calibri"/>
      </rPr>
      <t>0</t>
    </r>
  </si>
  <si>
    <t>Static Pressure</t>
  </si>
  <si>
    <t>hPa</t>
  </si>
  <si>
    <r>
      <rPr>
        <b val="1"/>
        <sz val="13"/>
        <color indexed="8"/>
        <rFont val="Calibri"/>
      </rPr>
      <t>Δ ISA+/-</t>
    </r>
  </si>
  <si>
    <t>Standard SAT:</t>
  </si>
  <si>
    <t>°C</t>
  </si>
  <si>
    <t>Static Air Temperature:</t>
  </si>
  <si>
    <t>Theta -Θ:</t>
  </si>
  <si>
    <r>
      <rPr>
        <sz val="13"/>
        <color indexed="8"/>
        <rFont val="Calibri"/>
      </rPr>
      <t>T</t>
    </r>
    <r>
      <rPr>
        <vertAlign val="subscript"/>
        <sz val="13"/>
        <color indexed="8"/>
        <rFont val="Calibri"/>
      </rPr>
      <t>ambient</t>
    </r>
    <r>
      <rPr>
        <sz val="13"/>
        <color indexed="8"/>
        <rFont val="Calibri"/>
      </rPr>
      <t>/T</t>
    </r>
    <r>
      <rPr>
        <vertAlign val="subscript"/>
        <sz val="13"/>
        <color indexed="8"/>
        <rFont val="Calibri"/>
      </rPr>
      <t>0</t>
    </r>
  </si>
  <si>
    <t>Absolute Temperature:</t>
  </si>
  <si>
    <t>°K</t>
  </si>
  <si>
    <t>Sigma -σ:</t>
  </si>
  <si>
    <r>
      <rPr>
        <sz val="13"/>
        <color indexed="8"/>
        <rFont val="Calibri"/>
      </rPr>
      <t>D</t>
    </r>
    <r>
      <rPr>
        <vertAlign val="subscript"/>
        <sz val="13"/>
        <color indexed="8"/>
        <rFont val="Calibri"/>
      </rPr>
      <t>ambient</t>
    </r>
    <r>
      <rPr>
        <sz val="13"/>
        <color indexed="8"/>
        <rFont val="Calibri"/>
      </rPr>
      <t>/D</t>
    </r>
    <r>
      <rPr>
        <vertAlign val="subscript"/>
        <sz val="13"/>
        <color indexed="8"/>
        <rFont val="Calibri"/>
      </rPr>
      <t>0</t>
    </r>
  </si>
  <si>
    <t>Absolute Density:</t>
  </si>
  <si>
    <t>kg/m³</t>
  </si>
  <si>
    <t>Density Altitude:</t>
  </si>
  <si>
    <t>True Speed of Sound (LSS)  a:</t>
  </si>
  <si>
    <t>kt</t>
  </si>
  <si>
    <t>KCAS</t>
  </si>
  <si>
    <t>Impact Pressure     (qc)</t>
  </si>
  <si>
    <t>Dynamic Pressure  (q)</t>
  </si>
  <si>
    <t>Total Air Temperature</t>
  </si>
  <si>
    <t>EAS</t>
  </si>
  <si>
    <t>MACH subonic equation</t>
  </si>
  <si>
    <t>M</t>
  </si>
  <si>
    <t>MACH supersonic equation</t>
  </si>
  <si>
    <t>TAS</t>
  </si>
  <si>
    <t>Mach</t>
  </si>
  <si>
    <t>Crossover Altitude Iteration 1:</t>
  </si>
  <si>
    <t>EAS from 1st Iteration:</t>
  </si>
  <si>
    <t>KEAS</t>
  </si>
  <si>
    <t>Crossover Altitude Iteration 2:</t>
  </si>
  <si>
    <t>Crossover Altitude Iteration 3:</t>
  </si>
  <si>
    <t>Crossover Altitude:</t>
  </si>
  <si>
    <t>Bank Angle [°]</t>
  </si>
  <si>
    <t>TAS (from pitot/static tab):</t>
  </si>
  <si>
    <t>KTAS</t>
  </si>
  <si>
    <t>Turn Radius:</t>
  </si>
  <si>
    <t>nm</t>
  </si>
  <si>
    <t>Turn Diameter:</t>
  </si>
  <si>
    <t>Turn Rate:</t>
  </si>
  <si>
    <t>°/s</t>
  </si>
  <si>
    <t>Time for 90°:</t>
  </si>
  <si>
    <t>min</t>
  </si>
  <si>
    <t>Time for 180°:</t>
  </si>
  <si>
    <t>Time for 360°:</t>
  </si>
  <si>
    <t>Load Factor n</t>
  </si>
  <si>
    <t>g</t>
  </si>
  <si>
    <t>Stall speed increase:</t>
  </si>
  <si>
    <t>%</t>
  </si>
  <si>
    <t>Pivotal Altitude: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</si>
</sst>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0.0000"/>
    <numFmt numFmtId="60" formatCode="0.000"/>
    <numFmt numFmtId="61" formatCode="0.0"/>
  </numFmts>
  <fonts count="9">
    <font>
      <sz val="10"/>
      <color indexed="8"/>
      <name val="Helvetica"/>
    </font>
    <font>
      <sz val="12"/>
      <color indexed="8"/>
      <name val="Helvetica"/>
    </font>
    <font>
      <sz val="13"/>
      <color indexed="8"/>
      <name val="Calibri"/>
    </font>
    <font>
      <sz val="17"/>
      <color indexed="8"/>
      <name val="Calibri"/>
    </font>
    <font>
      <b val="1"/>
      <sz val="13"/>
      <color indexed="8"/>
      <name val="Calibri"/>
    </font>
    <font>
      <b val="1"/>
      <sz val="28"/>
      <color indexed="8"/>
      <name val="Calibri"/>
    </font>
    <font>
      <sz val="28"/>
      <color indexed="8"/>
      <name val="Calibri"/>
    </font>
    <font>
      <vertAlign val="subscript"/>
      <sz val="13"/>
      <color indexed="8"/>
      <name val="Calibri"/>
    </font>
    <font>
      <b val="1"/>
      <sz val="13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41">
    <border>
      <left/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>
        <color indexed="8"/>
      </right>
      <top style="medium">
        <color indexed="10"/>
      </top>
      <bottom>
        <color indexed="8"/>
      </bottom>
      <diagonal/>
    </border>
    <border>
      <left>
        <color indexed="8"/>
      </left>
      <right style="medium">
        <color indexed="10"/>
      </right>
      <top style="medium">
        <color indexed="10"/>
      </top>
      <bottom>
        <color indexed="8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>
        <color indexed="8"/>
      </right>
      <top>
        <color indexed="8"/>
      </top>
      <bottom>
        <color indexed="8"/>
      </bottom>
      <diagonal/>
    </border>
    <border>
      <left>
        <color indexed="8"/>
      </left>
      <right style="medium">
        <color indexed="10"/>
      </right>
      <top>
        <color indexed="8"/>
      </top>
      <bottom>
        <color indexed="8"/>
      </bottom>
      <diagonal/>
    </border>
    <border>
      <left>
        <color indexed="8"/>
      </left>
      <right>
        <color indexed="8"/>
      </right>
      <top>
        <color indexed="8"/>
      </top>
      <bottom>
        <color indexed="8"/>
      </bottom>
      <diagonal/>
    </border>
    <border>
      <left style="medium">
        <color indexed="10"/>
      </left>
      <right>
        <color indexed="8"/>
      </right>
      <top>
        <color indexed="8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thin">
        <color indexed="8"/>
      </bottom>
      <diagonal/>
    </border>
    <border>
      <left style="medium">
        <color indexed="10"/>
      </left>
      <right style="medium">
        <color indexed="10"/>
      </right>
      <top style="thin">
        <color indexed="8"/>
      </top>
      <bottom style="medium">
        <color indexed="10"/>
      </bottom>
      <diagonal/>
    </border>
    <border>
      <left style="medium">
        <color indexed="10"/>
      </left>
      <right>
        <color indexed="8"/>
      </right>
      <top style="medium">
        <color indexed="10"/>
      </top>
      <bottom style="medium">
        <color indexed="10"/>
      </bottom>
      <diagonal/>
    </border>
    <border>
      <left>
        <color indexed="8"/>
      </left>
      <right>
        <color indexed="8"/>
      </right>
      <top>
        <color indexed="8"/>
      </top>
      <bottom style="medium">
        <color indexed="10"/>
      </bottom>
      <diagonal/>
    </border>
    <border>
      <left>
        <color indexed="8"/>
      </left>
      <right style="medium">
        <color indexed="10"/>
      </right>
      <top>
        <color indexed="8"/>
      </top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>
        <color indexed="8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>
        <color indexed="8"/>
      </right>
      <top/>
      <bottom/>
      <diagonal/>
    </border>
    <border>
      <left>
        <color indexed="8"/>
      </left>
      <right style="medium">
        <color indexed="10"/>
      </right>
      <top/>
      <bottom/>
      <diagonal/>
    </border>
    <border>
      <left style="medium">
        <color indexed="10"/>
      </left>
      <right/>
      <top/>
      <bottom/>
      <diagonal/>
    </border>
    <border>
      <left/>
      <right/>
      <top>
        <color indexed="8"/>
      </top>
      <bottom/>
      <diagonal/>
    </border>
    <border>
      <left/>
      <right style="medium">
        <color indexed="10"/>
      </right>
      <top/>
      <bottom/>
      <diagonal/>
    </border>
    <border>
      <left/>
      <right/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>
        <color indexed="8"/>
      </top>
      <bottom>
        <color indexed="8"/>
      </bottom>
      <diagonal/>
    </border>
    <border>
      <left/>
      <right style="medium">
        <color indexed="10"/>
      </right>
      <top>
        <color indexed="8"/>
      </top>
      <bottom>
        <color indexed="8"/>
      </bottom>
      <diagonal/>
    </border>
    <border>
      <left/>
      <right/>
      <top>
        <color indexed="8"/>
      </top>
      <bottom style="medium">
        <color indexed="10"/>
      </bottom>
      <diagonal/>
    </border>
    <border>
      <left/>
      <right style="medium">
        <color indexed="10"/>
      </right>
      <top>
        <color indexed="8"/>
      </top>
      <bottom style="medium">
        <color indexed="10"/>
      </bottom>
      <diagonal/>
    </border>
    <border>
      <left>
        <color indexed="8"/>
      </left>
      <right>
        <color indexed="8"/>
      </right>
      <top style="medium">
        <color indexed="10"/>
      </top>
      <bottom style="medium">
        <color indexed="10"/>
      </bottom>
      <diagonal/>
    </border>
    <border>
      <left>
        <color indexed="8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>
        <color indexed="8"/>
      </top>
      <bottom/>
      <diagonal/>
    </border>
    <border>
      <left/>
      <right>
        <color indexed="8"/>
      </right>
      <top>
        <color indexed="8"/>
      </top>
      <bottom/>
      <diagonal/>
    </border>
    <border>
      <left/>
      <right>
        <color indexed="8"/>
      </right>
      <top/>
      <bottom/>
      <diagonal/>
    </border>
    <border>
      <left style="medium">
        <color indexed="10"/>
      </left>
      <right/>
      <top/>
      <bottom>
        <color indexed="8"/>
      </bottom>
      <diagonal/>
    </border>
    <border>
      <left/>
      <right>
        <color indexed="8"/>
      </right>
      <top/>
      <bottom>
        <color indexed="8"/>
      </bottom>
      <diagonal/>
    </border>
    <border>
      <left/>
      <right/>
      <top style="medium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79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bottom"/>
    </xf>
    <xf numFmtId="49" fontId="4" fillId="2" borderId="1" applyNumberFormat="1" applyFont="1" applyFill="1" applyBorder="1" applyAlignment="1" applyProtection="0">
      <alignment horizontal="center" vertical="bottom"/>
    </xf>
    <xf numFmtId="1" fontId="2" fillId="3" borderId="2" applyNumberFormat="1" applyFont="1" applyFill="1" applyBorder="1" applyAlignment="1" applyProtection="0">
      <alignment vertical="bottom"/>
    </xf>
    <xf numFmtId="1" fontId="2" fillId="3" borderId="3" applyNumberFormat="1" applyFont="1" applyFill="1" applyBorder="1" applyAlignment="1" applyProtection="0">
      <alignment vertical="bottom"/>
    </xf>
    <xf numFmtId="0" fontId="5" fillId="4" borderId="4" applyNumberFormat="1" applyFont="1" applyFill="1" applyBorder="1" applyAlignment="1" applyProtection="0">
      <alignment horizontal="center" vertical="bottom"/>
    </xf>
    <xf numFmtId="1" fontId="6" fillId="3" borderId="5" applyNumberFormat="1" applyFont="1" applyFill="1" applyBorder="1" applyAlignment="1" applyProtection="0">
      <alignment vertical="bottom"/>
    </xf>
    <xf numFmtId="1" fontId="6" fillId="3" borderId="6" applyNumberFormat="1" applyFont="1" applyFill="1" applyBorder="1" applyAlignment="1" applyProtection="0">
      <alignment vertical="bottom"/>
    </xf>
    <xf numFmtId="49" fontId="2" fillId="3" borderId="2" applyNumberFormat="1" applyFont="1" applyFill="1" applyBorder="1" applyAlignment="1" applyProtection="0">
      <alignment vertical="bottom"/>
    </xf>
    <xf numFmtId="0" fontId="2" fillId="3" borderId="7" applyNumberFormat="1" applyFont="1" applyFill="1" applyBorder="1" applyAlignment="1" applyProtection="0">
      <alignment vertical="bottom"/>
    </xf>
    <xf numFmtId="49" fontId="2" fillId="3" borderId="6" applyNumberFormat="1" applyFont="1" applyFill="1" applyBorder="1" applyAlignment="1" applyProtection="0">
      <alignment vertical="bottom"/>
    </xf>
    <xf numFmtId="49" fontId="2" fillId="3" borderId="5" applyNumberFormat="1" applyFont="1" applyFill="1" applyBorder="1" applyAlignment="1" applyProtection="0">
      <alignment vertical="bottom"/>
    </xf>
    <xf numFmtId="59" fontId="2" fillId="3" borderId="7" applyNumberFormat="1" applyFont="1" applyFill="1" applyBorder="1" applyAlignment="1" applyProtection="0">
      <alignment vertical="bottom"/>
    </xf>
    <xf numFmtId="49" fontId="2" fillId="3" borderId="8" applyNumberFormat="1" applyFont="1" applyFill="1" applyBorder="1" applyAlignment="1" applyProtection="0">
      <alignment vertical="bottom"/>
    </xf>
    <xf numFmtId="1" fontId="2" fillId="3" borderId="7" applyNumberFormat="1" applyFont="1" applyFill="1" applyBorder="1" applyAlignment="1" applyProtection="0">
      <alignment vertical="bottom"/>
    </xf>
    <xf numFmtId="49" fontId="4" fillId="2" borderId="9" applyNumberFormat="1" applyFont="1" applyFill="1" applyBorder="1" applyAlignment="1" applyProtection="0">
      <alignment horizontal="center" vertical="bottom"/>
    </xf>
    <xf numFmtId="1" fontId="2" fillId="3" borderId="5" applyNumberFormat="1" applyFont="1" applyFill="1" applyBorder="1" applyAlignment="1" applyProtection="0">
      <alignment vertical="bottom"/>
    </xf>
    <xf numFmtId="1" fontId="2" fillId="3" borderId="6" applyNumberFormat="1" applyFont="1" applyFill="1" applyBorder="1" applyAlignment="1" applyProtection="0">
      <alignment vertical="bottom"/>
    </xf>
    <xf numFmtId="0" fontId="5" fillId="4" borderId="10" applyNumberFormat="1" applyFont="1" applyFill="1" applyBorder="1" applyAlignment="1" applyProtection="0">
      <alignment horizontal="center" vertical="bottom"/>
    </xf>
    <xf numFmtId="60" fontId="2" fillId="3" borderId="7" applyNumberFormat="1" applyFont="1" applyFill="1" applyBorder="1" applyAlignment="1" applyProtection="0">
      <alignment vertical="bottom"/>
    </xf>
    <xf numFmtId="61" fontId="2" fillId="3" borderId="7" applyNumberFormat="1" applyFont="1" applyFill="1" applyBorder="1" applyAlignment="1" applyProtection="0">
      <alignment vertical="bottom"/>
    </xf>
    <xf numFmtId="1" fontId="2" fillId="3" borderId="5" applyNumberFormat="1" applyFont="1" applyFill="1" applyBorder="1" applyAlignment="1" applyProtection="0">
      <alignment horizontal="center" vertical="bottom"/>
    </xf>
    <xf numFmtId="1" fontId="2" fillId="3" borderId="11" applyNumberFormat="1" applyFont="1" applyFill="1" applyBorder="1" applyAlignment="1" applyProtection="0">
      <alignment horizontal="center" vertical="bottom"/>
    </xf>
    <xf numFmtId="1" fontId="2" fillId="3" borderId="12" applyNumberFormat="1" applyFont="1" applyFill="1" applyBorder="1" applyAlignment="1" applyProtection="0">
      <alignment horizontal="center" vertical="bottom"/>
    </xf>
    <xf numFmtId="1" fontId="2" fillId="3" borderId="13" applyNumberFormat="1" applyFont="1" applyFill="1" applyBorder="1" applyAlignment="1" applyProtection="0">
      <alignment horizontal="center" vertical="bottom"/>
    </xf>
    <xf numFmtId="49" fontId="4" fillId="2" borderId="14" applyNumberFormat="1" applyFont="1" applyFill="1" applyBorder="1" applyAlignment="1" applyProtection="0">
      <alignment vertical="bottom"/>
    </xf>
    <xf numFmtId="1" fontId="4" fillId="2" borderId="15" applyNumberFormat="1" applyFont="1" applyFill="1" applyBorder="1" applyAlignment="1" applyProtection="0">
      <alignment vertical="bottom"/>
    </xf>
    <xf numFmtId="49" fontId="4" fillId="2" borderId="16" applyNumberFormat="1" applyFont="1" applyFill="1" applyBorder="1" applyAlignment="1" applyProtection="0">
      <alignment vertical="bottom"/>
    </xf>
    <xf numFmtId="49" fontId="4" fillId="2" borderId="17" applyNumberFormat="1" applyFont="1" applyFill="1" applyBorder="1" applyAlignment="1" applyProtection="0">
      <alignment vertical="bottom"/>
    </xf>
    <xf numFmtId="1" fontId="4" fillId="2" borderId="7" applyNumberFormat="1" applyFont="1" applyFill="1" applyBorder="1" applyAlignment="1" applyProtection="0">
      <alignment vertical="bottom"/>
    </xf>
    <xf numFmtId="49" fontId="4" fillId="2" borderId="18" applyNumberFormat="1" applyFont="1" applyFill="1" applyBorder="1" applyAlignment="1" applyProtection="0">
      <alignment vertical="bottom"/>
    </xf>
    <xf numFmtId="49" fontId="4" fillId="2" borderId="19" applyNumberFormat="1" applyFont="1" applyFill="1" applyBorder="1" applyAlignment="1" applyProtection="0">
      <alignment vertical="bottom"/>
    </xf>
    <xf numFmtId="1" fontId="4" fillId="2" borderId="20" applyNumberFormat="1" applyFont="1" applyFill="1" applyBorder="1" applyAlignment="1" applyProtection="0">
      <alignment vertical="bottom"/>
    </xf>
    <xf numFmtId="49" fontId="4" fillId="2" borderId="21" applyNumberFormat="1" applyFont="1" applyFill="1" applyBorder="1" applyAlignment="1" applyProtection="0">
      <alignment vertical="bottom"/>
    </xf>
    <xf numFmtId="1" fontId="4" fillId="2" borderId="22" applyNumberFormat="1" applyFont="1" applyFill="1" applyBorder="1" applyAlignment="1" applyProtection="0">
      <alignment vertical="bottom"/>
    </xf>
    <xf numFmtId="60" fontId="4" fillId="2" borderId="22" applyNumberFormat="1" applyFont="1" applyFill="1" applyBorder="1" applyAlignment="1" applyProtection="0">
      <alignment vertical="bottom"/>
    </xf>
    <xf numFmtId="60" fontId="8" fillId="2" borderId="22" applyNumberFormat="1" applyFont="1" applyFill="1" applyBorder="1" applyAlignment="1" applyProtection="0">
      <alignment horizontal="right" vertical="bottom"/>
    </xf>
    <xf numFmtId="49" fontId="4" fillId="2" borderId="23" applyNumberFormat="1" applyFont="1" applyFill="1" applyBorder="1" applyAlignment="1" applyProtection="0">
      <alignment vertical="bottom"/>
    </xf>
    <xf numFmtId="1" fontId="4" fillId="2" borderId="24" applyNumberFormat="1" applyFont="1" applyFill="1" applyBorder="1" applyAlignment="1" applyProtection="0">
      <alignment vertical="bottom"/>
    </xf>
    <xf numFmtId="49" fontId="4" fillId="2" borderId="25" applyNumberFormat="1" applyFont="1" applyFill="1" applyBorder="1" applyAlignment="1" applyProtection="0">
      <alignment vertical="bottom"/>
    </xf>
    <xf numFmtId="0" fontId="2" applyNumberFormat="1" applyFont="1" applyFill="0" applyBorder="0" applyAlignment="1" applyProtection="0">
      <alignment vertical="bottom"/>
    </xf>
    <xf numFmtId="1" fontId="2" fillId="3" borderId="2" applyNumberFormat="1" applyFont="1" applyFill="1" applyBorder="1" applyAlignment="1" applyProtection="0">
      <alignment horizontal="center" vertical="bottom"/>
    </xf>
    <xf numFmtId="0" fontId="2" fillId="3" borderId="26" applyNumberFormat="0" applyFont="1" applyFill="1" applyBorder="1" applyAlignment="1" applyProtection="0">
      <alignment vertical="bottom"/>
    </xf>
    <xf numFmtId="1" fontId="2" fillId="3" borderId="27" applyNumberFormat="1" applyFont="1" applyFill="1" applyBorder="1" applyAlignment="1" applyProtection="0">
      <alignment vertical="bottom"/>
    </xf>
    <xf numFmtId="0" fontId="2" fillId="3" borderId="28" applyNumberFormat="0" applyFont="1" applyFill="1" applyBorder="1" applyAlignment="1" applyProtection="0">
      <alignment vertical="bottom"/>
    </xf>
    <xf numFmtId="2" fontId="5" fillId="4" borderId="10" applyNumberFormat="1" applyFont="1" applyFill="1" applyBorder="1" applyAlignment="1" applyProtection="0">
      <alignment horizontal="center" vertical="bottom"/>
    </xf>
    <xf numFmtId="60" fontId="2" fillId="3" borderId="29" applyNumberFormat="1" applyFont="1" applyFill="1" applyBorder="1" applyAlignment="1" applyProtection="0">
      <alignment vertical="bottom"/>
    </xf>
    <xf numFmtId="0" fontId="2" fillId="3" borderId="30" applyNumberFormat="0" applyFont="1" applyFill="1" applyBorder="1" applyAlignment="1" applyProtection="0">
      <alignment vertical="bottom"/>
    </xf>
    <xf numFmtId="49" fontId="2" fillId="2" borderId="11" applyNumberFormat="1" applyFont="1" applyFill="1" applyBorder="1" applyAlignment="1" applyProtection="0">
      <alignment vertical="bottom"/>
    </xf>
    <xf numFmtId="1" fontId="2" fillId="2" borderId="31" applyNumberFormat="1" applyFont="1" applyFill="1" applyBorder="1" applyAlignment="1" applyProtection="0">
      <alignment vertical="bottom"/>
    </xf>
    <xf numFmtId="49" fontId="2" fillId="2" borderId="32" applyNumberFormat="1" applyFont="1" applyFill="1" applyBorder="1" applyAlignment="1" applyProtection="0">
      <alignment vertical="bottom"/>
    </xf>
    <xf numFmtId="49" fontId="2" fillId="3" borderId="11" applyNumberFormat="1" applyFont="1" applyFill="1" applyBorder="1" applyAlignment="1" applyProtection="0">
      <alignment vertical="bottom"/>
    </xf>
    <xf numFmtId="59" fontId="2" fillId="3" borderId="31" applyNumberFormat="1" applyFont="1" applyFill="1" applyBorder="1" applyAlignment="1" applyProtection="0">
      <alignment vertical="bottom"/>
    </xf>
    <xf numFmtId="49" fontId="2" fillId="3" borderId="32" applyNumberFormat="1" applyFont="1" applyFill="1" applyBorder="1" applyAlignment="1" applyProtection="0">
      <alignment vertical="bottom"/>
    </xf>
    <xf numFmtId="49" fontId="2" fillId="3" borderId="26" applyNumberFormat="1" applyFont="1" applyFill="1" applyBorder="1" applyAlignment="1" applyProtection="0">
      <alignment vertical="bottom"/>
    </xf>
    <xf numFmtId="1" fontId="2" fillId="3" borderId="33" applyNumberFormat="1" applyFont="1" applyFill="1" applyBorder="1" applyAlignment="1" applyProtection="0">
      <alignment vertical="bottom"/>
    </xf>
    <xf numFmtId="49" fontId="2" fillId="3" borderId="34" applyNumberFormat="1" applyFont="1" applyFill="1" applyBorder="1" applyAlignment="1" applyProtection="0">
      <alignment vertical="bottom"/>
    </xf>
    <xf numFmtId="0" fontId="2" applyNumberFormat="1" applyFont="1" applyFill="0" applyBorder="0" applyAlignment="1" applyProtection="0">
      <alignment vertical="bottom"/>
    </xf>
    <xf numFmtId="2" fontId="2" fillId="3" borderId="7" applyNumberFormat="1" applyFont="1" applyFill="1" applyBorder="1" applyAlignment="1" applyProtection="0">
      <alignment vertical="bottom"/>
    </xf>
    <xf numFmtId="49" fontId="2" fillId="3" borderId="35" applyNumberFormat="1" applyFont="1" applyFill="1" applyBorder="1" applyAlignment="1" applyProtection="0">
      <alignment vertical="bottom"/>
    </xf>
    <xf numFmtId="2" fontId="2" fillId="3" borderId="36" applyNumberFormat="1" applyFont="1" applyFill="1" applyBorder="1" applyAlignment="1" applyProtection="0">
      <alignment vertical="bottom"/>
    </xf>
    <xf numFmtId="49" fontId="2" fillId="3" borderId="19" applyNumberFormat="1" applyFont="1" applyFill="1" applyBorder="1" applyAlignment="1" applyProtection="0">
      <alignment vertical="bottom"/>
    </xf>
    <xf numFmtId="61" fontId="2" fillId="3" borderId="37" applyNumberFormat="1" applyFont="1" applyFill="1" applyBorder="1" applyAlignment="1" applyProtection="0">
      <alignment vertical="bottom"/>
    </xf>
    <xf numFmtId="49" fontId="2" fillId="3" borderId="38" applyNumberFormat="1" applyFont="1" applyFill="1" applyBorder="1" applyAlignment="1" applyProtection="0">
      <alignment vertical="bottom"/>
    </xf>
    <xf numFmtId="61" fontId="2" fillId="3" borderId="39" applyNumberFormat="1" applyFont="1" applyFill="1" applyBorder="1" applyAlignment="1" applyProtection="0">
      <alignment vertical="bottom"/>
    </xf>
    <xf numFmtId="0" fontId="2" fillId="3" borderId="8" applyNumberFormat="0" applyFont="1" applyFill="1" applyBorder="1" applyAlignment="1" applyProtection="0">
      <alignment vertical="bottom"/>
    </xf>
    <xf numFmtId="59" fontId="2" fillId="3" borderId="12" applyNumberFormat="1" applyFont="1" applyFill="1" applyBorder="1" applyAlignment="1" applyProtection="0">
      <alignment vertical="bottom"/>
    </xf>
    <xf numFmtId="0" fontId="2" fillId="3" borderId="13" applyNumberFormat="0" applyFont="1" applyFill="1" applyBorder="1" applyAlignment="1" applyProtection="0">
      <alignment vertical="bottom"/>
    </xf>
    <xf numFmtId="0" fontId="2" fillId="5" borderId="40" applyNumberFormat="0" applyFont="1" applyFill="1" applyBorder="1" applyAlignment="1" applyProtection="0">
      <alignment vertical="bottom"/>
    </xf>
    <xf numFmtId="60" fontId="2" fillId="5" borderId="40" applyNumberFormat="1" applyFont="1" applyFill="1" applyBorder="1" applyAlignment="1" applyProtection="0">
      <alignment vertical="bottom"/>
    </xf>
    <xf numFmtId="0" fontId="2" fillId="5" borderId="22" applyNumberFormat="0" applyFont="1" applyFill="1" applyBorder="1" applyAlignment="1" applyProtection="0">
      <alignment vertical="bottom"/>
    </xf>
    <xf numFmtId="1" fontId="2" fillId="5" borderId="22" applyNumberFormat="1" applyFont="1" applyFill="1" applyBorder="1" applyAlignment="1" applyProtection="0">
      <alignment vertical="bottom"/>
    </xf>
    <xf numFmtId="0" fontId="4" fillId="5" borderId="22" applyNumberFormat="0" applyFont="1" applyFill="1" applyBorder="1" applyAlignment="1" applyProtection="0">
      <alignment horizontal="center" vertical="bottom"/>
    </xf>
    <xf numFmtId="1" fontId="2" fillId="5" borderId="22" applyNumberFormat="1" applyFont="1" applyFill="1" applyBorder="1" applyAlignment="1" applyProtection="0">
      <alignment horizontal="center" vertical="bottom"/>
    </xf>
    <xf numFmtId="0" fontId="5" fillId="5" borderId="22" applyNumberFormat="1" applyFont="1" applyFill="1" applyBorder="1" applyAlignment="1" applyProtection="0">
      <alignment horizontal="center" vertical="bottom"/>
    </xf>
    <xf numFmtId="0" fontId="4" fillId="5" borderId="22" applyNumberFormat="0" applyFont="1" applyFill="1" applyBorder="1" applyAlignment="1" applyProtection="0">
      <alignment vertical="bottom"/>
    </xf>
    <xf numFmtId="1" fontId="4" fillId="5" borderId="22" applyNumberFormat="1" applyFont="1" applyFill="1" applyBorder="1" applyAlignment="1" applyProtection="0">
      <alignment vertical="bottom"/>
    </xf>
    <xf numFmtId="60" fontId="4" fillId="5" borderId="22" applyNumberFormat="1" applyFont="1" applyFill="1" applyBorder="1" applyAlignment="1" applyProtection="0">
      <alignment vertical="bottom"/>
    </xf>
    <xf numFmtId="60" fontId="8" fillId="5" borderId="22" applyNumberFormat="1" applyFont="1" applyFill="1" applyBorder="1" applyAlignment="1" applyProtection="0">
      <alignment horizontal="righ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2c21"/>
      <rgbColor rgb="ff515151"/>
      <rgbColor rgb="ffbfbfbf"/>
      <rgbColor rgb="ff95b3d7"/>
      <rgbColor rgb="fffefef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6318</xdr:colOff>
      <xdr:row>0</xdr:row>
      <xdr:rowOff>488928</xdr:rowOff>
    </xdr:from>
    <xdr:to>
      <xdr:col>4</xdr:col>
      <xdr:colOff>6318</xdr:colOff>
      <xdr:row>27</xdr:row>
      <xdr:rowOff>239132</xdr:rowOff>
    </xdr:to>
    <xdr:grpSp>
      <xdr:nvGrpSpPr>
        <xdr:cNvPr id="7" name="Gruppe"/>
        <xdr:cNvGrpSpPr/>
      </xdr:nvGrpSpPr>
      <xdr:grpSpPr>
        <a:xfrm>
          <a:off x="158718" y="488928"/>
          <a:ext cx="3695701" cy="6904115"/>
          <a:chOff x="0" y="0"/>
          <a:chExt cx="3695700" cy="6904114"/>
        </a:xfrm>
      </xdr:grpSpPr>
      <xdr:sp>
        <xdr:nvSpPr>
          <xdr:cNvPr id="2" name="Rechteck"/>
          <xdr:cNvSpPr/>
        </xdr:nvSpPr>
        <xdr:spPr>
          <a:xfrm>
            <a:off x="2274486" y="16156"/>
            <a:ext cx="1421214" cy="6863788"/>
          </a:xfrm>
          <a:prstGeom prst="rect">
            <a:avLst/>
          </a:prstGeom>
          <a:noFill/>
          <a:ln w="12700" cap="flat">
            <a:noFill/>
            <a:miter lim="400000"/>
          </a:ln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3" name="Rechteck"/>
          <xdr:cNvSpPr/>
        </xdr:nvSpPr>
        <xdr:spPr>
          <a:xfrm>
            <a:off x="10859" y="4932286"/>
            <a:ext cx="2751254" cy="1971829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4" name="Rechteck"/>
          <xdr:cNvSpPr/>
        </xdr:nvSpPr>
        <xdr:spPr>
          <a:xfrm>
            <a:off x="10859" y="2265780"/>
            <a:ext cx="2975260" cy="2123240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5" name="Rechteck"/>
          <xdr:cNvSpPr/>
        </xdr:nvSpPr>
        <xdr:spPr>
          <a:xfrm>
            <a:off x="8195" y="806352"/>
            <a:ext cx="2786255" cy="938373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6" name="Rechteck"/>
          <xdr:cNvSpPr/>
        </xdr:nvSpPr>
        <xdr:spPr>
          <a:xfrm>
            <a:off x="0" y="0"/>
            <a:ext cx="3001109" cy="201841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</xdr:grpSp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79636</xdr:colOff>
      <xdr:row>35</xdr:row>
      <xdr:rowOff>234624</xdr:rowOff>
    </xdr:from>
    <xdr:to>
      <xdr:col>5</xdr:col>
      <xdr:colOff>662019</xdr:colOff>
      <xdr:row>40</xdr:row>
      <xdr:rowOff>50474</xdr:rowOff>
    </xdr:to>
    <xdr:sp>
      <xdr:nvSpPr>
        <xdr:cNvPr id="9" name="Rechteck"/>
        <xdr:cNvSpPr/>
      </xdr:nvSpPr>
      <xdr:spPr>
        <a:xfrm>
          <a:off x="2518036" y="7457114"/>
          <a:ext cx="2817584" cy="1041401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133317</xdr:colOff>
      <xdr:row>0</xdr:row>
      <xdr:rowOff>499285</xdr:rowOff>
    </xdr:from>
    <xdr:to>
      <xdr:col>4</xdr:col>
      <xdr:colOff>6317</xdr:colOff>
      <xdr:row>16</xdr:row>
      <xdr:rowOff>254175</xdr:rowOff>
    </xdr:to>
    <xdr:grpSp>
      <xdr:nvGrpSpPr>
        <xdr:cNvPr id="14" name="Gruppe"/>
        <xdr:cNvGrpSpPr/>
      </xdr:nvGrpSpPr>
      <xdr:grpSpPr>
        <a:xfrm>
          <a:off x="133317" y="499285"/>
          <a:ext cx="3721101" cy="2298701"/>
          <a:chOff x="0" y="0"/>
          <a:chExt cx="3721100" cy="2298700"/>
        </a:xfrm>
      </xdr:grpSpPr>
      <xdr:sp>
        <xdr:nvSpPr>
          <xdr:cNvPr id="10" name="Rechteck"/>
          <xdr:cNvSpPr/>
        </xdr:nvSpPr>
        <xdr:spPr>
          <a:xfrm>
            <a:off x="2298699" y="0"/>
            <a:ext cx="1422402" cy="2298701"/>
          </a:xfrm>
          <a:prstGeom prst="rect">
            <a:avLst/>
          </a:prstGeom>
          <a:noFill/>
          <a:ln w="12700" cap="flat">
            <a:noFill/>
            <a:miter lim="400000"/>
          </a:ln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11" name="Rechteck"/>
          <xdr:cNvSpPr/>
        </xdr:nvSpPr>
        <xdr:spPr>
          <a:xfrm>
            <a:off x="25936" y="1752599"/>
            <a:ext cx="3046990" cy="533401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2" name="Rechteck"/>
          <xdr:cNvSpPr/>
        </xdr:nvSpPr>
        <xdr:spPr>
          <a:xfrm>
            <a:off x="0" y="749300"/>
            <a:ext cx="2853428" cy="533400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3" name="Rechteck"/>
          <xdr:cNvSpPr/>
        </xdr:nvSpPr>
        <xdr:spPr>
          <a:xfrm>
            <a:off x="12700" y="0"/>
            <a:ext cx="3073463" cy="266700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</xdr:grpSp>
    <xdr:clientData/>
  </xdr:twoCellAnchor>
</xdr:wsDr>
</file>

<file path=xl/drawings/drawing3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106485</xdr:colOff>
      <xdr:row>0</xdr:row>
      <xdr:rowOff>499285</xdr:rowOff>
    </xdr:from>
    <xdr:to>
      <xdr:col>4</xdr:col>
      <xdr:colOff>6318</xdr:colOff>
      <xdr:row>14</xdr:row>
      <xdr:rowOff>50804</xdr:rowOff>
    </xdr:to>
    <xdr:grpSp>
      <xdr:nvGrpSpPr>
        <xdr:cNvPr id="19" name="Gruppe"/>
        <xdr:cNvGrpSpPr/>
      </xdr:nvGrpSpPr>
      <xdr:grpSpPr>
        <a:xfrm>
          <a:off x="106485" y="499285"/>
          <a:ext cx="3747934" cy="3441530"/>
          <a:chOff x="0" y="0"/>
          <a:chExt cx="3747932" cy="3441528"/>
        </a:xfrm>
      </xdr:grpSpPr>
      <xdr:sp>
        <xdr:nvSpPr>
          <xdr:cNvPr id="16" name="Rechteck"/>
          <xdr:cNvSpPr/>
        </xdr:nvSpPr>
        <xdr:spPr>
          <a:xfrm>
            <a:off x="2281959" y="0"/>
            <a:ext cx="1465974" cy="3369233"/>
          </a:xfrm>
          <a:prstGeom prst="rect">
            <a:avLst/>
          </a:prstGeom>
          <a:noFill/>
          <a:ln w="12700" cap="flat">
            <a:noFill/>
            <a:miter lim="400000"/>
          </a:ln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17" name="Rechteck"/>
          <xdr:cNvSpPr/>
        </xdr:nvSpPr>
        <xdr:spPr>
          <a:xfrm>
            <a:off x="0" y="773790"/>
            <a:ext cx="2874004" cy="2667739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8" name="Rechteck"/>
          <xdr:cNvSpPr/>
        </xdr:nvSpPr>
        <xdr:spPr>
          <a:xfrm>
            <a:off x="0" y="0"/>
            <a:ext cx="3095626" cy="203296"/>
          </a:xfrm>
          <a:prstGeom prst="rect">
            <a:avLst/>
          </a:prstGeom>
          <a:noFill/>
          <a:ln w="12700" cap="flat">
            <a:noFill/>
            <a:miter lim="400000"/>
          </a:ln>
          <a:effectLst/>
        </xdr:spPr>
        <xdr:txBody>
          <a:bodyPr/>
          <a:lstStyle/>
          <a:p>
            <a:pPr/>
          </a:p>
        </xdr:txBody>
      </xdr:sp>
    </xdr:grp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2:D28"/>
  <sheetViews>
    <sheetView workbookViewId="0" showGridLines="0" defaultGridColor="1"/>
  </sheetViews>
  <sheetFormatPr defaultColWidth="10.8333" defaultRowHeight="19.3" customHeight="1" outlineLevelRow="0" outlineLevelCol="0"/>
  <cols>
    <col min="1" max="1" width="1.92188" style="1" customWidth="1"/>
    <col min="2" max="2" width="30" style="1" customWidth="1"/>
    <col min="3" max="3" width="7.5" style="1" customWidth="1"/>
    <col min="4" max="4" width="11" style="1" customWidth="1"/>
    <col min="5" max="16384" width="10.8516" style="1" customWidth="1"/>
  </cols>
  <sheetData>
    <row r="1" ht="40.3" customHeight="1"/>
    <row r="2" ht="20" customHeight="1">
      <c r="B2" t="s" s="2">
        <v>0</v>
      </c>
      <c r="C2" s="3"/>
      <c r="D2" s="4"/>
    </row>
    <row r="3" ht="38" customHeight="1">
      <c r="B3" s="5">
        <v>330</v>
      </c>
      <c r="C3" s="6"/>
      <c r="D3" s="7"/>
    </row>
    <row r="4" ht="20" customHeight="1">
      <c r="B4" t="s" s="8">
        <v>1</v>
      </c>
      <c r="C4" s="9" cm="1">
        <f t="array" ref="C4">B3*100</f>
        <v>33000</v>
      </c>
      <c r="D4" t="s" s="10">
        <v>2</v>
      </c>
    </row>
    <row r="5" ht="19" customHeight="1">
      <c r="B5" t="s" s="11">
        <v>3</v>
      </c>
      <c r="C5" s="12" cm="1">
        <f t="array" ref="C5">IF(C4&lt;36089,(1-0.0000068756*(C4))^5.2559,0.223358*EXP(-0.0000480614*(C4-36089)))</f>
        <v>0.258578986137948</v>
      </c>
      <c r="D5" t="s" s="10">
        <v>4</v>
      </c>
    </row>
    <row r="6" ht="20" customHeight="1">
      <c r="B6" t="s" s="13">
        <v>5</v>
      </c>
      <c r="C6" s="14" cm="1">
        <f t="array" ref="C6">C5*1013.25</f>
        <v>262.005157704276</v>
      </c>
      <c r="D6" t="s" s="10">
        <v>6</v>
      </c>
    </row>
    <row r="7" ht="20.5" customHeight="1">
      <c r="B7" t="s" s="15">
        <v>7</v>
      </c>
      <c r="C7" s="16"/>
      <c r="D7" s="17"/>
    </row>
    <row r="8" ht="38.5" customHeight="1">
      <c r="B8" s="18">
        <v>0</v>
      </c>
      <c r="C8" s="16"/>
      <c r="D8" s="17"/>
    </row>
    <row r="9" ht="20" customHeight="1">
      <c r="B9" t="s" s="8">
        <v>8</v>
      </c>
      <c r="C9" s="9" cm="1">
        <f t="array" ref="C9">IF(B3&lt;360,15-B3/5,-56.5)</f>
        <v>-51</v>
      </c>
      <c r="D9" t="s" s="10">
        <v>9</v>
      </c>
    </row>
    <row r="10" ht="19" customHeight="1">
      <c r="B10" t="s" s="11">
        <v>10</v>
      </c>
      <c r="C10" s="9" cm="1">
        <f t="array" ref="C10">C9+B8</f>
        <v>-51</v>
      </c>
      <c r="D10" t="s" s="10">
        <v>9</v>
      </c>
    </row>
    <row r="11" ht="18" customHeight="1">
      <c r="B11" t="s" s="11">
        <v>11</v>
      </c>
      <c r="C11" s="19" cm="1">
        <f t="array" ref="C11">(C10+273.15)/288.15</f>
        <v>0.7709526288391459</v>
      </c>
      <c r="D11" t="s" s="10">
        <v>12</v>
      </c>
    </row>
    <row r="12" ht="19" customHeight="1">
      <c r="B12" t="s" s="11">
        <v>13</v>
      </c>
      <c r="C12" s="20" cm="1">
        <f t="array" ref="C12">C11*288.15</f>
        <v>222.15</v>
      </c>
      <c r="D12" t="s" s="10">
        <v>14</v>
      </c>
    </row>
    <row r="13" ht="18" customHeight="1">
      <c r="B13" t="s" s="11">
        <v>15</v>
      </c>
      <c r="C13" s="12" cm="1">
        <f t="array" ref="C13">((1-6.87559*10^-6*C4)^5.2559)/((C10+273.15)/288.15)</f>
        <v>0.335402664940553</v>
      </c>
      <c r="D13" t="s" s="10">
        <v>16</v>
      </c>
    </row>
    <row r="14" ht="19" customHeight="1">
      <c r="B14" t="s" s="11">
        <v>17</v>
      </c>
      <c r="C14" s="19" cm="1">
        <f t="array" ref="C14">C13*1.225</f>
        <v>0.410868264552177</v>
      </c>
      <c r="D14" t="s" s="10">
        <v>18</v>
      </c>
    </row>
    <row r="15" ht="19" customHeight="1">
      <c r="B15" t="s" s="11">
        <v>19</v>
      </c>
      <c r="C15" s="14" cm="1">
        <f t="array" ref="C15">145430*(1-((C5)/(C11))^0.235)</f>
        <v>32927.5695719196</v>
      </c>
      <c r="D15" t="s" s="10">
        <v>2</v>
      </c>
    </row>
    <row r="16" ht="20" customHeight="1">
      <c r="B16" t="s" s="13">
        <v>20</v>
      </c>
      <c r="C16" s="14" cm="1">
        <f t="array" ref="C16">38.968*SQRT(C12)</f>
        <v>580.806242288769</v>
      </c>
      <c r="D16" t="s" s="10">
        <v>21</v>
      </c>
    </row>
    <row r="17" ht="20.5" customHeight="1">
      <c r="B17" t="s" s="15">
        <v>22</v>
      </c>
      <c r="C17" s="21"/>
      <c r="D17" s="17"/>
    </row>
    <row r="18" ht="38.5" customHeight="1">
      <c r="B18" s="18">
        <v>270</v>
      </c>
      <c r="C18" s="16"/>
      <c r="D18" s="17"/>
    </row>
    <row r="19" ht="21" customHeight="1">
      <c r="B19" s="22"/>
      <c r="C19" s="23"/>
      <c r="D19" s="24"/>
    </row>
    <row r="20" ht="20" customHeight="1">
      <c r="B20" t="s" s="25">
        <v>23</v>
      </c>
      <c r="C20" s="26" cm="1">
        <f t="array" ref="C20">2116.2*(((((0.002377*((B18*1.69)^2))/(2116.2*7))+1)^3.5)-1)*47.8802/100</f>
        <v>123.514146740372</v>
      </c>
      <c r="D20" t="s" s="27">
        <v>6</v>
      </c>
    </row>
    <row r="21" ht="19" customHeight="1">
      <c r="B21" t="s" s="28">
        <v>24</v>
      </c>
      <c r="C21" s="29" cm="1">
        <f t="array" ref="C21">2116.2*(((((0.002377*((C23*1.69)^2))/(2116.2*7))+1)^3.5)-1)*47.8802/100</f>
        <v>111.052300207611</v>
      </c>
      <c r="D21" t="s" s="30">
        <v>6</v>
      </c>
    </row>
    <row r="22" ht="19" customHeight="1">
      <c r="B22" t="s" s="31">
        <v>25</v>
      </c>
      <c r="C22" s="32" cm="1">
        <f t="array" ref="C22">C12*(1+0.2*C24^2)-273.15</f>
        <v>-25.0816643662217</v>
      </c>
      <c r="D22" t="s" s="33">
        <v>9</v>
      </c>
    </row>
    <row r="23" ht="19" customHeight="1">
      <c r="B23" t="s" s="31">
        <v>26</v>
      </c>
      <c r="C23" s="34" cm="1">
        <f t="array" ref="C23">B18/(1+1/8*(1-C5)*C24^2+3/640*(1-(10*C5)+9*(C5)^2)*C24^4)</f>
        <v>256.533522987610</v>
      </c>
      <c r="D23" t="s" s="33">
        <v>21</v>
      </c>
    </row>
    <row r="24" ht="19" customHeight="1">
      <c r="B24" t="s" s="31">
        <v>27</v>
      </c>
      <c r="C24" s="35" cm="1">
        <f t="array" ref="C24">SQRT((5*((((C20*100/47.8802)/(C5*2116.2)+1)^(2/7)-1))))</f>
        <v>0.763774928369545</v>
      </c>
      <c r="D24" t="s" s="33">
        <v>28</v>
      </c>
    </row>
    <row r="25" ht="8" customHeight="1" hidden="1">
      <c r="B25" t="s" s="31">
        <v>29</v>
      </c>
      <c r="C25" s="36" cm="1">
        <f t="array" ref="C25">0.8813*SQRT((C20/C6+1)*POWER(1-(1/(7*POWER(C24,2))),2.5))</f>
        <v>0.752496780512706</v>
      </c>
      <c r="D25" t="s" s="33">
        <v>28</v>
      </c>
    </row>
    <row r="26" ht="8" customHeight="1" hidden="1">
      <c r="B26" t="s" s="31">
        <v>29</v>
      </c>
      <c r="C26" s="36" cm="1">
        <f t="array" ref="C26">0.8813*SQRT((C20/C6+1)*POWER(1-(1/(7*POWER(C25,2))),2.5))</f>
        <v>0.743295509270795</v>
      </c>
      <c r="D26" t="s" s="33">
        <v>28</v>
      </c>
    </row>
    <row r="27" ht="19" customHeight="1">
      <c r="B27" t="s" s="31">
        <v>29</v>
      </c>
      <c r="C27" s="36" cm="1">
        <f t="array" ref="C27">0.8813*SQRT((C20/C6+1)*POWER(1-(1/(7*POWER(C26,2))),2.5))</f>
        <v>0.735494206743186</v>
      </c>
      <c r="D27" t="s" s="33">
        <v>28</v>
      </c>
    </row>
    <row r="28" ht="20" customHeight="1">
      <c r="B28" t="s" s="37">
        <v>30</v>
      </c>
      <c r="C28" s="38" cm="1">
        <f t="array" ref="C28">C24*C16</f>
        <v>443.605246100689</v>
      </c>
      <c r="D28" t="s" s="39">
        <v>21</v>
      </c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B2:D17"/>
  <sheetViews>
    <sheetView workbookViewId="0" showGridLines="0" defaultGridColor="1"/>
  </sheetViews>
  <sheetFormatPr defaultColWidth="10.8333" defaultRowHeight="19.3" customHeight="1" outlineLevelRow="0" outlineLevelCol="0"/>
  <cols>
    <col min="1" max="1" width="1.92188" style="40" customWidth="1"/>
    <col min="2" max="2" width="30" style="40" customWidth="1"/>
    <col min="3" max="3" width="7.5" style="40" customWidth="1"/>
    <col min="4" max="4" width="11" style="40" customWidth="1"/>
    <col min="5" max="16384" width="10.8516" style="40" customWidth="1"/>
  </cols>
  <sheetData>
    <row r="1" ht="40.3" customHeight="1"/>
    <row r="2" ht="20.5" customHeight="1">
      <c r="B2" t="s" s="15">
        <v>22</v>
      </c>
      <c r="C2" s="41"/>
      <c r="D2" s="4"/>
    </row>
    <row r="3" ht="38.5" customHeight="1">
      <c r="B3" s="18">
        <v>300</v>
      </c>
      <c r="C3" s="16"/>
      <c r="D3" s="17"/>
    </row>
    <row r="4" ht="21" customHeight="1">
      <c r="B4" s="42"/>
      <c r="C4" s="43"/>
      <c r="D4" s="44"/>
    </row>
    <row r="5" ht="20.5" customHeight="1">
      <c r="B5" t="s" s="15">
        <v>31</v>
      </c>
      <c r="C5" s="16"/>
      <c r="D5" s="17"/>
    </row>
    <row r="6" ht="38.5" customHeight="1">
      <c r="B6" s="45">
        <v>0.76</v>
      </c>
      <c r="C6" s="16"/>
      <c r="D6" s="17"/>
    </row>
    <row r="7" ht="21" customHeight="1">
      <c r="B7" s="42"/>
      <c r="C7" s="46"/>
      <c r="D7" s="47"/>
    </row>
    <row r="8" ht="10" customHeight="1" hidden="1">
      <c r="B8" t="s" s="48">
        <v>32</v>
      </c>
      <c r="C8" s="49" cm="1">
        <f t="array" ref="C8">145430*(1-POWER((POWER(B3,2)/436921/POWER(B6,2)),0.19))</f>
        <v>25873.1782970037</v>
      </c>
      <c r="D8" t="s" s="50">
        <v>2</v>
      </c>
    </row>
    <row r="9" ht="10" customHeight="1" hidden="1">
      <c r="B9" t="s" s="51">
        <v>3</v>
      </c>
      <c r="C9" s="52" cm="1">
        <f t="array" ref="C9">IF(C8&lt;36089,(1-0.0000068756*(C8))^5.2559,0.223358*EXP(-0.0000480614*(C8-36089)))</f>
        <v>0.35716604095411</v>
      </c>
      <c r="D9" t="s" s="53">
        <v>4</v>
      </c>
    </row>
    <row r="10" ht="10" customHeight="1" hidden="1">
      <c r="B10" t="s" s="54">
        <v>33</v>
      </c>
      <c r="C10" s="55" cm="1">
        <f t="array" ref="C10">B3/(1+1/8*(1-C9)*B6^2+3/640*(1-(10*C9)+9*(C9)^2)*B6^4)</f>
        <v>287.305028833122</v>
      </c>
      <c r="D10" t="s" s="56">
        <v>34</v>
      </c>
    </row>
    <row r="11" ht="10" customHeight="1" hidden="1">
      <c r="B11" t="s" s="48">
        <v>35</v>
      </c>
      <c r="C11" s="49" cm="1">
        <f t="array" ref="C11">145430*(1-POWER((POWER(C10,2)/436921/POWER(B6,2)),0.19))</f>
        <v>27821.4999885529</v>
      </c>
      <c r="D11" t="s" s="50">
        <v>2</v>
      </c>
    </row>
    <row r="12" ht="10" customHeight="1" hidden="1">
      <c r="B12" t="s" s="51">
        <v>3</v>
      </c>
      <c r="C12" s="52" cm="1">
        <f t="array" ref="C12">IF(C11&lt;36089,(1-0.0000068756*(C11))^5.2559,0.223358*EXP(-0.0000480614*(C11-36089)))</f>
        <v>0.327619425155239</v>
      </c>
      <c r="D12" t="s" s="53">
        <v>4</v>
      </c>
    </row>
    <row r="13" ht="10" customHeight="1" hidden="1">
      <c r="B13" t="s" s="54">
        <v>33</v>
      </c>
      <c r="C13" s="55" cm="1">
        <f t="array" ref="C13">B3/(1+1/8*(1-C12)*B6^2+3/640*(1-(10*C12)+9*(C12)^2)*B6^4)</f>
        <v>286.670689066739</v>
      </c>
      <c r="D13" t="s" s="56">
        <v>34</v>
      </c>
    </row>
    <row r="14" ht="10" customHeight="1" hidden="1">
      <c r="B14" t="s" s="48">
        <v>36</v>
      </c>
      <c r="C14" s="49" cm="1">
        <f t="array" ref="C14">145430*(1-POWER((POWER(C13,2)/436921/POWER(B6,2)),0.19))</f>
        <v>27920.241216257</v>
      </c>
      <c r="D14" t="s" s="50">
        <v>2</v>
      </c>
    </row>
    <row r="15" ht="10" customHeight="1" hidden="1">
      <c r="B15" t="s" s="51">
        <v>3</v>
      </c>
      <c r="C15" s="52" cm="1">
        <f t="array" ref="C15">IF(C14&lt;36089,(1-0.0000068756*(C14))^5.2559,0.223358*EXP(-0.0000480614*(C14-36089)))</f>
        <v>0.326176456235759</v>
      </c>
      <c r="D15" t="s" s="53">
        <v>4</v>
      </c>
    </row>
    <row r="16" ht="10" customHeight="1" hidden="1">
      <c r="B16" t="s" s="54">
        <v>33</v>
      </c>
      <c r="C16" s="55" cm="1">
        <f t="array" ref="C16">B3/(1+1/8*(1-C15)*B6^2+3/640*(1-(10*C15)+9*(C15)^2)*B6^4)</f>
        <v>286.639609158898</v>
      </c>
      <c r="D16" t="s" s="56">
        <v>34</v>
      </c>
    </row>
    <row r="17" ht="21" customHeight="1">
      <c r="B17" t="s" s="48">
        <v>37</v>
      </c>
      <c r="C17" s="49" cm="1">
        <f t="array" ref="C17">145430*(1-POWER((POWER(C16,2)/436921/POWER(B6,2)),0.19))</f>
        <v>27925.0825894407</v>
      </c>
      <c r="D17" t="s" s="50">
        <v>2</v>
      </c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B2:D26"/>
  <sheetViews>
    <sheetView workbookViewId="0" showGridLines="0" defaultGridColor="1"/>
  </sheetViews>
  <sheetFormatPr defaultColWidth="10.8333" defaultRowHeight="19.3" customHeight="1" outlineLevelRow="0" outlineLevelCol="0"/>
  <cols>
    <col min="1" max="1" width="1.92188" style="57" customWidth="1"/>
    <col min="2" max="2" width="30" style="57" customWidth="1"/>
    <col min="3" max="3" width="7.5" style="57" customWidth="1"/>
    <col min="4" max="4" width="11" style="57" customWidth="1"/>
    <col min="5" max="16384" width="10.8516" style="57" customWidth="1"/>
  </cols>
  <sheetData>
    <row r="1" ht="40.3" customHeight="1"/>
    <row r="2" ht="20" customHeight="1">
      <c r="B2" t="s" s="2">
        <v>38</v>
      </c>
      <c r="C2" s="3"/>
      <c r="D2" s="4"/>
    </row>
    <row r="3" ht="38" customHeight="1">
      <c r="B3" s="5">
        <v>25</v>
      </c>
      <c r="C3" s="6"/>
      <c r="D3" s="7"/>
    </row>
    <row r="4" ht="20" customHeight="1">
      <c r="B4" t="s" s="8">
        <v>39</v>
      </c>
      <c r="C4" s="9" cm="1">
        <f t="array" ref="C4">'Pitot_Static'!C28</f>
        <v>443.605246100689</v>
      </c>
      <c r="D4" t="s" s="10">
        <v>40</v>
      </c>
    </row>
    <row r="5" ht="19" customHeight="1">
      <c r="B5" t="s" s="11">
        <v>41</v>
      </c>
      <c r="C5" s="58" cm="1">
        <f t="array" ref="C5">POWER(C4*0.5144,2)/(9.81*TAN(RADIANS(B3)))*0.000539957</f>
        <v>6.14628772965135</v>
      </c>
      <c r="D5" t="s" s="10">
        <v>42</v>
      </c>
    </row>
    <row r="6" ht="19" customHeight="1">
      <c r="B6" t="s" s="11">
        <v>43</v>
      </c>
      <c r="C6" s="58" cm="1">
        <f t="array" ref="C6">C5*2</f>
        <v>12.2925754593027</v>
      </c>
      <c r="D6" t="s" s="10">
        <v>42</v>
      </c>
    </row>
    <row r="7" ht="19" customHeight="1">
      <c r="B7" t="s" s="59">
        <v>44</v>
      </c>
      <c r="C7" s="60" cm="1">
        <f t="array" ref="C7">TAN(RADIANS(B3))*360*9.81/(2*3.14159*C4*0.5)</f>
        <v>1.18167453524228</v>
      </c>
      <c r="D7" t="s" s="10">
        <v>45</v>
      </c>
    </row>
    <row r="8" ht="19" customHeight="1">
      <c r="B8" t="s" s="61">
        <v>46</v>
      </c>
      <c r="C8" s="62" cm="1">
        <f t="array" ref="C8">90/C7/60</f>
        <v>1.26938505930692</v>
      </c>
      <c r="D8" t="s" s="10">
        <v>47</v>
      </c>
    </row>
    <row r="9" ht="19" customHeight="1">
      <c r="B9" t="s" s="61">
        <v>48</v>
      </c>
      <c r="C9" s="62" cm="1">
        <f t="array" ref="C9">180/C7/60</f>
        <v>2.53877011861384</v>
      </c>
      <c r="D9" t="s" s="10">
        <v>47</v>
      </c>
    </row>
    <row r="10" ht="19" customHeight="1">
      <c r="B10" t="s" s="63">
        <v>49</v>
      </c>
      <c r="C10" s="64" cm="1">
        <f t="array" ref="C10">360/C7/60</f>
        <v>5.07754023722768</v>
      </c>
      <c r="D10" t="s" s="10">
        <v>47</v>
      </c>
    </row>
    <row r="11" ht="19" customHeight="1">
      <c r="B11" t="s" s="11">
        <v>50</v>
      </c>
      <c r="C11" s="58" cm="1">
        <f t="array" ref="C11">1/COS(RADIANS(B3))</f>
        <v>1.10337791896249</v>
      </c>
      <c r="D11" t="s" s="10">
        <v>51</v>
      </c>
    </row>
    <row r="12" ht="18" customHeight="1">
      <c r="B12" t="s" s="11">
        <v>52</v>
      </c>
      <c r="C12" s="14" cm="1">
        <f t="array" ref="C12">(SQRT(C11)-1)*100</f>
        <v>5.04179734574661</v>
      </c>
      <c r="D12" t="s" s="10">
        <v>53</v>
      </c>
    </row>
    <row r="13" ht="19" customHeight="1">
      <c r="B13" t="s" s="11">
        <v>54</v>
      </c>
      <c r="C13" s="14" cm="1">
        <f t="array" ref="C13">TAN(RADIANS(B3))*C5*6076</f>
        <v>17414.1868642177</v>
      </c>
      <c r="D13" t="s" s="10">
        <v>2</v>
      </c>
    </row>
    <row r="14" ht="18" customHeight="1">
      <c r="B14" s="65"/>
      <c r="C14" s="66"/>
      <c r="D14" s="67"/>
    </row>
    <row r="15" ht="20" customHeight="1">
      <c r="B15" s="68"/>
      <c r="C15" s="69"/>
      <c r="D15" s="68"/>
    </row>
    <row r="16" ht="19" customHeight="1">
      <c r="B16" s="70"/>
      <c r="C16" s="71"/>
      <c r="D16" s="70"/>
    </row>
    <row r="17" ht="19" customHeight="1">
      <c r="B17" s="70"/>
      <c r="C17" s="71"/>
      <c r="D17" s="70"/>
    </row>
    <row r="18" ht="19" customHeight="1">
      <c r="B18" s="72"/>
      <c r="C18" s="73"/>
      <c r="D18" s="71"/>
    </row>
    <row r="19" ht="37" customHeight="1">
      <c r="B19" s="74"/>
      <c r="C19" s="71"/>
      <c r="D19" s="71"/>
    </row>
    <row r="20" ht="19" customHeight="1">
      <c r="B20" s="73"/>
      <c r="C20" s="73"/>
      <c r="D20" s="73"/>
    </row>
    <row r="21" ht="19" customHeight="1">
      <c r="B21" s="75"/>
      <c r="C21" s="76"/>
      <c r="D21" s="75"/>
    </row>
    <row r="22" ht="19" customHeight="1">
      <c r="B22" s="75"/>
      <c r="C22" s="76"/>
      <c r="D22" s="75"/>
    </row>
    <row r="23" ht="19" customHeight="1">
      <c r="B23" s="75"/>
      <c r="C23" s="76"/>
      <c r="D23" s="75"/>
    </row>
    <row r="24" ht="19" customHeight="1">
      <c r="B24" s="75"/>
      <c r="C24" s="77"/>
      <c r="D24" s="75"/>
    </row>
    <row r="25" ht="19" customHeight="1">
      <c r="B25" s="75"/>
      <c r="C25" s="78"/>
      <c r="D25" s="75"/>
    </row>
    <row r="26" ht="19" customHeight="1">
      <c r="B26" s="75"/>
      <c r="C26" s="76"/>
      <c r="D26" s="75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